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drawings/drawing8.xml" ContentType="application/vnd.openxmlformats-officedocument.drawing+xml"/>
  <Override PartName="/xl/activeX/activeX8.xml" ContentType="application/vnd.ms-office.activeX+xml"/>
  <Override PartName="/xl/activeX/activeX8.bin" ContentType="application/vnd.ms-office.activeX"/>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drawings/drawing9.xml" ContentType="application/vnd.openxmlformats-officedocument.drawing+xml"/>
  <Override PartName="/xl/activeX/activeX9.xml" ContentType="application/vnd.ms-office.activeX+xml"/>
  <Override PartName="/xl/activeX/activeX9.bin" ContentType="application/vnd.ms-office.activeX"/>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0.xml" ContentType="application/vnd.openxmlformats-officedocument.drawing+xml"/>
  <Override PartName="/xl/activeX/activeX10.xml" ContentType="application/vnd.ms-office.activeX+xml"/>
  <Override PartName="/xl/activeX/activeX10.bin" ContentType="application/vnd.ms-office.activeX"/>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1.xml" ContentType="application/vnd.openxmlformats-officedocument.drawing+xml"/>
  <Override PartName="/xl/activeX/activeX11.xml" ContentType="application/vnd.ms-office.activeX+xml"/>
  <Override PartName="/xl/activeX/activeX11.bin" ContentType="application/vnd.ms-office.activeX"/>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drawings/drawing12.xml" ContentType="application/vnd.openxmlformats-officedocument.drawing+xml"/>
  <Override PartName="/xl/activeX/activeX12.xml" ContentType="application/vnd.ms-office.activeX+xml"/>
  <Override PartName="/xl/activeX/activeX12.bin" ContentType="application/vnd.ms-office.activeX"/>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13.xml" ContentType="application/vnd.openxmlformats-officedocument.drawing+xml"/>
  <Override PartName="/xl/activeX/activeX13.xml" ContentType="application/vnd.ms-office.activeX+xml"/>
  <Override PartName="/xl/activeX/activeX13.bin" ContentType="application/vnd.ms-office.activeX"/>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14.xml" ContentType="application/vnd.openxmlformats-officedocument.drawing+xml"/>
  <Override PartName="/xl/activeX/activeX14.xml" ContentType="application/vnd.ms-office.activeX+xml"/>
  <Override PartName="/xl/activeX/activeX14.bin" ContentType="application/vnd.ms-office.activeX"/>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drawings/drawing15.xml" ContentType="application/vnd.openxmlformats-officedocument.drawing+xml"/>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ЭтаКнига"/>
  <mc:AlternateContent xmlns:mc="http://schemas.openxmlformats.org/markup-compatibility/2006">
    <mc:Choice Requires="x15">
      <x15ac:absPath xmlns:x15ac="http://schemas.microsoft.com/office/spreadsheetml/2010/11/ac" url="C:\Users\AlekseenkoVV\AppData\Local\Microsoft\Windows\Temporary Internet Files\Content.Outlook\D20SJTRG\"/>
    </mc:Choice>
  </mc:AlternateContent>
  <bookViews>
    <workbookView xWindow="0" yWindow="1620" windowWidth="16725" windowHeight="4545" tabRatio="733"/>
  </bookViews>
  <sheets>
    <sheet name="MENU" sheetId="1" r:id="rId1"/>
    <sheet name="FINANCIAL HIGHLIGHTS" sheetId="2" r:id="rId2"/>
    <sheet name="SELECTED FINANCIAL RATIOS" sheetId="3" r:id="rId3"/>
    <sheet name="INCOME STATEMENT" sheetId="4" r:id="rId4"/>
    <sheet name="REVENUE BREAKDOWN" sheetId="5" r:id="rId5"/>
    <sheet name="EBITDA CALCULATION" sheetId="6" r:id="rId6"/>
    <sheet name="COST BREAKDOWN" sheetId="7" r:id="rId7"/>
    <sheet name="COST BREAKDOWN BY REGION" sheetId="8" r:id="rId8"/>
    <sheet name="BALANCE " sheetId="9" r:id="rId9"/>
    <sheet name="CASH FLOW STATEMENT" sheetId="10" r:id="rId10"/>
    <sheet name="WORKING CAPITAL" sheetId="11" r:id="rId11"/>
    <sheet name="CAPEX BREAKDOWN" sheetId="12" r:id="rId12"/>
    <sheet name="DEBT AND LIQUIDITY " sheetId="13" r:id="rId13"/>
    <sheet name="METAL SALES&amp;PRICES" sheetId="14" r:id="rId14"/>
    <sheet name="PRODUCTION DATA" sheetId="15" r:id="rId15"/>
    <sheet name="ORE OUTRUT" sheetId="16" r:id="rId16"/>
    <sheet name="RECOVERY RATES" sheetId="17" r:id="rId17"/>
    <sheet name="MINERALS RESERVES AND RESOURCES"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 localSheetId="17" hidden="1">[1]RSOILBAL!#REF!</definedName>
    <definedName name="__123Graph" localSheetId="14" hidden="1">[1]RSOILBAL!#REF!</definedName>
    <definedName name="__123Graph" hidden="1">[1]RSOILBAL!#REF!</definedName>
    <definedName name="__123Graph_A" localSheetId="17" hidden="1">[2]RSOILBAL!#REF!</definedName>
    <definedName name="__123Graph_A" localSheetId="14" hidden="1">[2]RSOILBAL!#REF!</definedName>
    <definedName name="__123Graph_A" hidden="1">[2]RSOILBAL!#REF!</definedName>
    <definedName name="__123Graph_ACRPIE90" localSheetId="17" hidden="1">[2]RSOILBAL!#REF!</definedName>
    <definedName name="__123Graph_ACRPIE90" localSheetId="14" hidden="1">[2]RSOILBAL!#REF!</definedName>
    <definedName name="__123Graph_ACRPIE90" hidden="1">[2]RSOILBAL!#REF!</definedName>
    <definedName name="__123Graph_ACRPIE91" localSheetId="17" hidden="1">[2]RSOILBAL!#REF!</definedName>
    <definedName name="__123Graph_ACRPIE91" localSheetId="14" hidden="1">[2]RSOILBAL!#REF!</definedName>
    <definedName name="__123Graph_ACRPIE91" hidden="1">[2]RSOILBAL!#REF!</definedName>
    <definedName name="__123Graph_ACRPIE92" localSheetId="17" hidden="1">[2]RSOILBAL!#REF!</definedName>
    <definedName name="__123Graph_ACRPIE92" localSheetId="14" hidden="1">[2]RSOILBAL!#REF!</definedName>
    <definedName name="__123Graph_ACRPIE92" hidden="1">[2]RSOILBAL!#REF!</definedName>
    <definedName name="__123Graph_ACRPIE93" localSheetId="17" hidden="1">[2]RSOILBAL!#REF!</definedName>
    <definedName name="__123Graph_ACRPIE93" hidden="1">[2]RSOILBAL!#REF!</definedName>
    <definedName name="__123Graph_LBL_A" localSheetId="17" hidden="1">[2]RSOILBAL!#REF!</definedName>
    <definedName name="__123Graph_LBL_A" hidden="1">[2]RSOILBAL!#REF!</definedName>
    <definedName name="__123Graph_LBL_ACRPIE90" localSheetId="17" hidden="1">[2]RSOILBAL!#REF!</definedName>
    <definedName name="__123Graph_LBL_ACRPIE90" hidden="1">[2]RSOILBAL!#REF!</definedName>
    <definedName name="__123Graph_LBL_ACRPIE91" localSheetId="17" hidden="1">[2]RSOILBAL!#REF!</definedName>
    <definedName name="__123Graph_LBL_ACRPIE91" hidden="1">[2]RSOILBAL!#REF!</definedName>
    <definedName name="__123Graph_LBL_ACRPIE92" localSheetId="17" hidden="1">[2]RSOILBAL!#REF!</definedName>
    <definedName name="__123Graph_LBL_ACRPIE92" hidden="1">[2]RSOILBAL!#REF!</definedName>
    <definedName name="__123Graph_LBL_ACRPIE93" localSheetId="17" hidden="1">[2]RSOILBAL!#REF!</definedName>
    <definedName name="__123Graph_LBL_ACRPIE93" hidden="1">[2]RSOILBAL!#REF!</definedName>
    <definedName name="__FPMExcelClient_CellBasedFunctionStatus" localSheetId="8" hidden="1">"1_1_2_1_2_2"</definedName>
    <definedName name="__FPMExcelClient_CellBasedFunctionStatus" localSheetId="11" hidden="1">"1_1_2_2_2_2"</definedName>
    <definedName name="__FPMExcelClient_CellBasedFunctionStatus" localSheetId="9" hidden="1">"1_1_2_1_2_2"</definedName>
    <definedName name="__FPMExcelClient_CellBasedFunctionStatus" localSheetId="6" hidden="1">"2_1_2_2_2_2"</definedName>
    <definedName name="__FPMExcelClient_CellBasedFunctionStatus" localSheetId="7" hidden="1">"1_1_2_1_2_2"</definedName>
    <definedName name="__FPMExcelClient_CellBasedFunctionStatus" localSheetId="12" hidden="1">"1_1_2_2_2_2"</definedName>
    <definedName name="__FPMExcelClient_CellBasedFunctionStatus" localSheetId="5" hidden="1">"1_1_2_1_2_2"</definedName>
    <definedName name="__FPMExcelClient_CellBasedFunctionStatus" localSheetId="1" hidden="1">"1_1_2_1_2_2"</definedName>
    <definedName name="__FPMExcelClient_CellBasedFunctionStatus" localSheetId="3" hidden="1">"1_1_2_1_2_2"</definedName>
    <definedName name="__FPMExcelClient_CellBasedFunctionStatus" localSheetId="0" hidden="1">"1_1_2_1_2_2"</definedName>
    <definedName name="__FPMExcelClient_CellBasedFunctionStatus" localSheetId="13" hidden="1">"1_1_2_2_2_2"</definedName>
    <definedName name="__FPMExcelClient_CellBasedFunctionStatus" localSheetId="14" hidden="1">"1_1_2_2_2_2"</definedName>
    <definedName name="__FPMExcelClient_CellBasedFunctionStatus" localSheetId="4" hidden="1">"2_1_2_2_2_2"</definedName>
    <definedName name="__FPMExcelClient_CellBasedFunctionStatus" localSheetId="2" hidden="1">"1_1_2_1_2_2"</definedName>
    <definedName name="__FPMExcelClient_CellBasedFunctionStatus" localSheetId="10" hidden="1">"1_1_2_1_2_2"</definedName>
    <definedName name="__FPMExcelClient_Connection" localSheetId="8">"_FPM_BPCNW10_[http://172.16.43.111:8030/sap/bpc/]_[NN_CONSOLIDATION]_[CONSOLIDATION]_[false]\1"</definedName>
    <definedName name="__FPMExcelClient_Connection" localSheetId="11">"_FPM_BPCNW10_[http://172.16.43.111:8030/sap/bpc/]_[NN_CONSOLIDATION]_[CONSOLIDATION]_[false]"</definedName>
    <definedName name="__FPMExcelClient_Connection" localSheetId="12">"_FPM_BPCNW10_[http://172.16.43.111:8030/sap/bpc/]_[NN_CONSOLIDATION]_[CONSOLIDATION]_[false]"</definedName>
    <definedName name="__FPMExcelClient_Connection" localSheetId="1">"_FPM_BPCNW10_[http://172.16.43.111:8030/sap/bpc/]_[NN_CONSOLIDATION]_[CONSOLIDATION]_[false]\1"</definedName>
    <definedName name="__FPMExcelClient_Connection" localSheetId="3">"_FPM_BPCNW10_[http://172.16.43.111:8030/sap/bpc/]_[NN_CONSOLIDATION]_[CONSOLIDATION]_[false]\1"</definedName>
    <definedName name="__FPMExcelClient_Connection" localSheetId="0">"_FPM_BPCNW10_[http://172.16.43.111:8030/sap/bpc/]_[NN_CONSOLIDATION]_[CONSOLIDATION]_[false]\1"</definedName>
    <definedName name="__FPMExcelClient_Connection" localSheetId="13">"_FPM_BPCNW10_[http://172.16.43.111:8030/sap/bpc/]_[NN_CONSOLIDATION]_[CONSOLIDATION]_[false]"</definedName>
    <definedName name="__FPMExcelClient_Connection" localSheetId="2">"_FPM_BPCNW10_[http://172.16.43.111:8030/sap/bpc/]_[NN_CONSOLIDATION]_[CONSOLIDATION]_[false]\1"</definedName>
    <definedName name="__FPMExcelClient_RefreshTime" localSheetId="8">636250220835577000</definedName>
    <definedName name="__FPMExcelClient_RefreshTime" localSheetId="11">636250229870487000</definedName>
    <definedName name="__FPMExcelClient_RefreshTime" localSheetId="9">636250220837977000</definedName>
    <definedName name="__FPMExcelClient_RefreshTime" localSheetId="6">636250228509607000</definedName>
    <definedName name="__FPMExcelClient_RefreshTime" localSheetId="7">636250220842037000</definedName>
    <definedName name="__FPMExcelClient_RefreshTime" localSheetId="12">636250970867330000</definedName>
    <definedName name="__FPMExcelClient_RefreshTime" localSheetId="5">636250220848877000</definedName>
    <definedName name="__FPMExcelClient_RefreshTime" localSheetId="1">636250927127024000</definedName>
    <definedName name="__FPMExcelClient_RefreshTime" localSheetId="3">636250220852977000</definedName>
    <definedName name="__FPMExcelClient_RefreshTime" localSheetId="0">636251012534926000</definedName>
    <definedName name="__FPMExcelClient_RefreshTime" localSheetId="13">636250993584670000</definedName>
    <definedName name="__FPMExcelClient_RefreshTime" localSheetId="14">636250230430257000</definedName>
    <definedName name="__FPMExcelClient_RefreshTime" localSheetId="4">636250233391727000</definedName>
    <definedName name="__FPMExcelClient_RefreshTime" localSheetId="2">636250226252107000</definedName>
    <definedName name="__FPMExcelClient_RefreshTime" localSheetId="10">636250220864747000</definedName>
    <definedName name="_DAT1" localSheetId="17">#REF!</definedName>
    <definedName name="_DAT1">#REF!</definedName>
    <definedName name="_DAT10" localSheetId="17">#REF!</definedName>
    <definedName name="_DAT10">#REF!</definedName>
    <definedName name="_DAT11" localSheetId="17">#REF!</definedName>
    <definedName name="_DAT11">#REF!</definedName>
    <definedName name="_DAT12" localSheetId="17">#REF!</definedName>
    <definedName name="_DAT12">#REF!</definedName>
    <definedName name="_DAT13" localSheetId="17">#REF!</definedName>
    <definedName name="_DAT13">#REF!</definedName>
    <definedName name="_DAT14" localSheetId="17">'[3]по всем МВЗ(вал)'!#REF!</definedName>
    <definedName name="_DAT14">'[3]по всем МВЗ(вал)'!#REF!</definedName>
    <definedName name="_DAT15" localSheetId="17">'[3]по всем МВЗ(вал)'!#REF!</definedName>
    <definedName name="_DAT15">'[3]по всем МВЗ(вал)'!#REF!</definedName>
    <definedName name="_DAT16" localSheetId="17">'[3]по всем МВЗ(вал)'!#REF!</definedName>
    <definedName name="_DAT16">'[3]по всем МВЗ(вал)'!#REF!</definedName>
    <definedName name="_DAT17" localSheetId="17">'[3]по всем МВЗ(вал)'!#REF!</definedName>
    <definedName name="_DAT17">'[3]по всем МВЗ(вал)'!#REF!</definedName>
    <definedName name="_DAT18" localSheetId="17">'[3]по всем МВЗ(вал)'!#REF!</definedName>
    <definedName name="_DAT18">'[3]по всем МВЗ(вал)'!#REF!</definedName>
    <definedName name="_DAT19" localSheetId="17">'[3]по всем МВЗ(вал)'!#REF!</definedName>
    <definedName name="_DAT19">'[3]по всем МВЗ(вал)'!#REF!</definedName>
    <definedName name="_DAT2" localSheetId="17">#REF!</definedName>
    <definedName name="_DAT2">#REF!</definedName>
    <definedName name="_DAT20" localSheetId="17">'[3]по всем МВЗ(вал)'!#REF!</definedName>
    <definedName name="_DAT20">'[3]по всем МВЗ(вал)'!#REF!</definedName>
    <definedName name="_DAT21">'[3]по всем МВЗ(вал)'!$C$2:$C$108</definedName>
    <definedName name="_DAT22" localSheetId="17">'[3]по всем МВЗ(вал)'!#REF!</definedName>
    <definedName name="_DAT22">'[3]по всем МВЗ(вал)'!#REF!</definedName>
    <definedName name="_DAT23" localSheetId="17">'[3]по всем МВЗ(вал)'!#REF!</definedName>
    <definedName name="_DAT23">'[3]по всем МВЗ(вал)'!#REF!</definedName>
    <definedName name="_DAT24" localSheetId="17">'[3]по всем МВЗ(вал)'!#REF!</definedName>
    <definedName name="_DAT24">'[3]по всем МВЗ(вал)'!#REF!</definedName>
    <definedName name="_DAT25" localSheetId="17">'[3]по всем МВЗ(вал)'!#REF!</definedName>
    <definedName name="_DAT25">'[3]по всем МВЗ(вал)'!#REF!</definedName>
    <definedName name="_DAT26" localSheetId="17">'[3]по всем МВЗ(вал)'!#REF!</definedName>
    <definedName name="_DAT26">'[3]по всем МВЗ(вал)'!#REF!</definedName>
    <definedName name="_DAT27" localSheetId="17">'[3]по всем МВЗ(вал)'!#REF!</definedName>
    <definedName name="_DAT27">'[3]по всем МВЗ(вал)'!#REF!</definedName>
    <definedName name="_DAT28" localSheetId="17">'[3]по всем МВЗ(вал)'!#REF!</definedName>
    <definedName name="_DAT28">'[3]по всем МВЗ(вал)'!#REF!</definedName>
    <definedName name="_DAT29" localSheetId="17">'[3]по всем МВЗ(вал)'!#REF!</definedName>
    <definedName name="_DAT29">'[3]по всем МВЗ(вал)'!#REF!</definedName>
    <definedName name="_DAT3" localSheetId="17">#REF!</definedName>
    <definedName name="_DAT3">#REF!</definedName>
    <definedName name="_DAT30" localSheetId="17">'[3]по всем МВЗ(вал)'!#REF!</definedName>
    <definedName name="_DAT30">'[3]по всем МВЗ(вал)'!#REF!</definedName>
    <definedName name="_DAT31" localSheetId="17">'[3]по всем МВЗ(вал)'!#REF!</definedName>
    <definedName name="_DAT31">'[3]по всем МВЗ(вал)'!#REF!</definedName>
    <definedName name="_DAT32" localSheetId="17">'[3]по всем МВЗ(вал)'!#REF!</definedName>
    <definedName name="_DAT32">'[3]по всем МВЗ(вал)'!#REF!</definedName>
    <definedName name="_DAT33" localSheetId="17">'[3]по всем МВЗ(вал)'!#REF!</definedName>
    <definedName name="_DAT33">'[3]по всем МВЗ(вал)'!#REF!</definedName>
    <definedName name="_DAT34" localSheetId="17">'[3]по всем МВЗ(вал)'!#REF!</definedName>
    <definedName name="_DAT34">'[3]по всем МВЗ(вал)'!#REF!</definedName>
    <definedName name="_DAT35" localSheetId="17">'[3]по всем МВЗ(вал)'!#REF!</definedName>
    <definedName name="_DAT35">'[3]по всем МВЗ(вал)'!#REF!</definedName>
    <definedName name="_DAT36" localSheetId="17">'[3]по всем МВЗ(вал)'!#REF!</definedName>
    <definedName name="_DAT36">'[3]по всем МВЗ(вал)'!#REF!</definedName>
    <definedName name="_DAT37" localSheetId="17">'[3]по всем МВЗ(вал)'!#REF!</definedName>
    <definedName name="_DAT37">'[3]по всем МВЗ(вал)'!#REF!</definedName>
    <definedName name="_DAT38" localSheetId="17">'[3]по всем МВЗ(вал)'!#REF!</definedName>
    <definedName name="_DAT38">'[3]по всем МВЗ(вал)'!#REF!</definedName>
    <definedName name="_DAT39" localSheetId="17">'[3]по всем МВЗ(вал)'!#REF!</definedName>
    <definedName name="_DAT39">'[3]по всем МВЗ(вал)'!#REF!</definedName>
    <definedName name="_DAT4" localSheetId="17">#REF!</definedName>
    <definedName name="_DAT4">#REF!</definedName>
    <definedName name="_DAT40" localSheetId="17">'[3]по всем МВЗ(вал)'!#REF!</definedName>
    <definedName name="_DAT40">'[3]по всем МВЗ(вал)'!#REF!</definedName>
    <definedName name="_DAT41" localSheetId="17">'[3]по всем МВЗ(вал)'!#REF!</definedName>
    <definedName name="_DAT41">'[3]по всем МВЗ(вал)'!#REF!</definedName>
    <definedName name="_DAT42" localSheetId="17">'[3]по всем МВЗ(вал)'!#REF!</definedName>
    <definedName name="_DAT42">'[3]по всем МВЗ(вал)'!#REF!</definedName>
    <definedName name="_DAT43" localSheetId="17">'[3]по всем МВЗ(вал)'!#REF!</definedName>
    <definedName name="_DAT43">'[3]по всем МВЗ(вал)'!#REF!</definedName>
    <definedName name="_DAT44" localSheetId="17">'[3]по всем МВЗ(вал)'!#REF!</definedName>
    <definedName name="_DAT44">'[3]по всем МВЗ(вал)'!#REF!</definedName>
    <definedName name="_DAT45" localSheetId="17">'[3]по всем МВЗ(вал)'!#REF!</definedName>
    <definedName name="_DAT45">'[3]по всем МВЗ(вал)'!#REF!</definedName>
    <definedName name="_DAT46" localSheetId="17">'[3]по всем МВЗ(вал)'!#REF!</definedName>
    <definedName name="_DAT46">'[3]по всем МВЗ(вал)'!#REF!</definedName>
    <definedName name="_DAT47" localSheetId="17">'[3]по всем МВЗ(вал)'!#REF!</definedName>
    <definedName name="_DAT47">'[3]по всем МВЗ(вал)'!#REF!</definedName>
    <definedName name="_DAT48" localSheetId="17">'[3]по всем МВЗ(вал)'!#REF!</definedName>
    <definedName name="_DAT48">'[3]по всем МВЗ(вал)'!#REF!</definedName>
    <definedName name="_DAT49" localSheetId="17">'[3]по всем МВЗ(вал)'!#REF!</definedName>
    <definedName name="_DAT49">'[3]по всем МВЗ(вал)'!#REF!</definedName>
    <definedName name="_DAT5" localSheetId="17">#REF!</definedName>
    <definedName name="_DAT5">#REF!</definedName>
    <definedName name="_DAT50" localSheetId="17">'[3]по всем МВЗ(вал)'!#REF!</definedName>
    <definedName name="_DAT50">'[3]по всем МВЗ(вал)'!#REF!</definedName>
    <definedName name="_DAT51" localSheetId="17">'[3]по всем МВЗ(вал)'!#REF!</definedName>
    <definedName name="_DAT51">'[3]по всем МВЗ(вал)'!#REF!</definedName>
    <definedName name="_DAT52" localSheetId="17">'[3]по всем МВЗ(вал)'!#REF!</definedName>
    <definedName name="_DAT52">'[3]по всем МВЗ(вал)'!#REF!</definedName>
    <definedName name="_DAT53" localSheetId="17">'[3]по всем МВЗ(вал)'!#REF!</definedName>
    <definedName name="_DAT53">'[3]по всем МВЗ(вал)'!#REF!</definedName>
    <definedName name="_DAT54" localSheetId="17">'[3]по всем МВЗ(вал)'!#REF!</definedName>
    <definedName name="_DAT54">'[3]по всем МВЗ(вал)'!#REF!</definedName>
    <definedName name="_DAT55" localSheetId="17">'[3]по всем МВЗ(вал)'!#REF!</definedName>
    <definedName name="_DAT55">'[3]по всем МВЗ(вал)'!#REF!</definedName>
    <definedName name="_DAT56" localSheetId="17">'[3]по всем МВЗ(вал)'!#REF!</definedName>
    <definedName name="_DAT56">'[3]по всем МВЗ(вал)'!#REF!</definedName>
    <definedName name="_DAT57" localSheetId="17">'[3]по всем МВЗ(вал)'!#REF!</definedName>
    <definedName name="_DAT57">'[3]по всем МВЗ(вал)'!#REF!</definedName>
    <definedName name="_DAT58" localSheetId="17">'[3]по всем МВЗ(вал)'!#REF!</definedName>
    <definedName name="_DAT58">'[3]по всем МВЗ(вал)'!#REF!</definedName>
    <definedName name="_DAT59" localSheetId="17">'[3]по всем МВЗ(вал)'!#REF!</definedName>
    <definedName name="_DAT59">'[3]по всем МВЗ(вал)'!#REF!</definedName>
    <definedName name="_DAT6" localSheetId="17">#REF!</definedName>
    <definedName name="_DAT6">#REF!</definedName>
    <definedName name="_DAT60" localSheetId="17">'[3]по всем МВЗ(вал)'!#REF!</definedName>
    <definedName name="_DAT60">'[3]по всем МВЗ(вал)'!#REF!</definedName>
    <definedName name="_DAT61" localSheetId="17">'[3]по всем МВЗ(вал)'!#REF!</definedName>
    <definedName name="_DAT61">'[3]по всем МВЗ(вал)'!#REF!</definedName>
    <definedName name="_DAT62" localSheetId="17">'[3]по всем МВЗ(вал)'!#REF!</definedName>
    <definedName name="_DAT62">'[3]по всем МВЗ(вал)'!#REF!</definedName>
    <definedName name="_DAT63" localSheetId="17">'[3]по всем МВЗ(вал)'!#REF!</definedName>
    <definedName name="_DAT63">'[3]по всем МВЗ(вал)'!#REF!</definedName>
    <definedName name="_DAT64" localSheetId="17">'[3]по всем МВЗ(вал)'!#REF!</definedName>
    <definedName name="_DAT64">'[3]по всем МВЗ(вал)'!#REF!</definedName>
    <definedName name="_DAT65" localSheetId="17">'[3]по всем МВЗ(вал)'!#REF!</definedName>
    <definedName name="_DAT65">'[3]по всем МВЗ(вал)'!#REF!</definedName>
    <definedName name="_DAT66" localSheetId="17">'[3]по всем МВЗ(вал)'!#REF!</definedName>
    <definedName name="_DAT66">'[3]по всем МВЗ(вал)'!#REF!</definedName>
    <definedName name="_DAT67" localSheetId="17">'[3]по всем МВЗ(вал)'!#REF!</definedName>
    <definedName name="_DAT67">'[3]по всем МВЗ(вал)'!#REF!</definedName>
    <definedName name="_DAT68" localSheetId="17">'[3]по всем МВЗ(вал)'!#REF!</definedName>
    <definedName name="_DAT68">'[3]по всем МВЗ(вал)'!#REF!</definedName>
    <definedName name="_DAT69" localSheetId="17">'[3]по всем МВЗ(вал)'!#REF!</definedName>
    <definedName name="_DAT69">'[3]по всем МВЗ(вал)'!#REF!</definedName>
    <definedName name="_DAT7" localSheetId="17">#REF!</definedName>
    <definedName name="_DAT7">#REF!</definedName>
    <definedName name="_DAT8" localSheetId="17">#REF!</definedName>
    <definedName name="_DAT8">#REF!</definedName>
    <definedName name="_DAT9" localSheetId="17">#REF!</definedName>
    <definedName name="_DAT9">#REF!</definedName>
    <definedName name="_ENT1">[4]Params!$A$2:$A$7</definedName>
    <definedName name="_Order1" hidden="1">255</definedName>
    <definedName name="_PL98" localSheetId="17">[5]Main!#REF!</definedName>
    <definedName name="_PL98">[5]Main!#REF!</definedName>
    <definedName name="_PPE1" localSheetId="17">#REF!</definedName>
    <definedName name="_PPE1">#REF!</definedName>
    <definedName name="_Sht1" localSheetId="17">[5]Main!#REF!</definedName>
    <definedName name="_Sht1">[5]Main!#REF!</definedName>
    <definedName name="_Sht10" localSheetId="17">[5]Main!#REF!</definedName>
    <definedName name="_Sht10">[5]Main!#REF!</definedName>
    <definedName name="_Sht11" localSheetId="17">[5]Main!#REF!</definedName>
    <definedName name="_Sht11">[5]Main!#REF!</definedName>
    <definedName name="_Sht12" localSheetId="17">[5]Main!#REF!</definedName>
    <definedName name="_Sht12">[5]Main!#REF!</definedName>
    <definedName name="_Sht13" localSheetId="17">[5]Main!#REF!</definedName>
    <definedName name="_Sht13">[5]Main!#REF!</definedName>
    <definedName name="_Sht14" localSheetId="17">[5]Main!#REF!</definedName>
    <definedName name="_Sht14">[5]Main!#REF!</definedName>
    <definedName name="_Sht15" localSheetId="17">[5]Main!#REF!</definedName>
    <definedName name="_Sht15">[5]Main!#REF!</definedName>
    <definedName name="_Sht16" localSheetId="17">[5]Main!#REF!</definedName>
    <definedName name="_Sht16">[5]Main!#REF!</definedName>
    <definedName name="_Sht17" localSheetId="17">[5]Main!#REF!</definedName>
    <definedName name="_Sht17">[5]Main!#REF!</definedName>
    <definedName name="_Sht18" localSheetId="17">[5]Main!#REF!</definedName>
    <definedName name="_Sht18">[5]Main!#REF!</definedName>
    <definedName name="_Sht19" localSheetId="17">[5]Main!#REF!</definedName>
    <definedName name="_Sht19">[5]Main!#REF!</definedName>
    <definedName name="_Sht2" localSheetId="17">[5]Main!#REF!</definedName>
    <definedName name="_Sht2">[5]Main!#REF!</definedName>
    <definedName name="_Sht20" localSheetId="17">[5]Main!#REF!</definedName>
    <definedName name="_Sht20">[5]Main!#REF!</definedName>
    <definedName name="_Sht3" localSheetId="17">[5]Main!#REF!</definedName>
    <definedName name="_Sht3">[5]Main!#REF!</definedName>
    <definedName name="_Sht4" localSheetId="17">[5]Main!#REF!</definedName>
    <definedName name="_Sht4">[5]Main!#REF!</definedName>
    <definedName name="_Sht5" localSheetId="17">[5]Main!#REF!</definedName>
    <definedName name="_Sht5">[5]Main!#REF!</definedName>
    <definedName name="_Sht6" localSheetId="17">[5]Main!#REF!</definedName>
    <definedName name="_Sht6">[5]Main!#REF!</definedName>
    <definedName name="_Sht7" localSheetId="17">[5]Main!#REF!</definedName>
    <definedName name="_Sht7">[5]Main!#REF!</definedName>
    <definedName name="_Sht8" localSheetId="17">[5]Main!#REF!</definedName>
    <definedName name="_Sht8">[5]Main!#REF!</definedName>
    <definedName name="_Sht9" localSheetId="17">[5]Main!#REF!</definedName>
    <definedName name="_Sht9">[5]Main!#REF!</definedName>
    <definedName name="_Sort" localSheetId="17" hidden="1">#REF!</definedName>
    <definedName name="_Sort" hidden="1">#REF!</definedName>
    <definedName name="_xlnm._FilterDatabase" localSheetId="1" hidden="1">'FINANCIAL HIGHLIGHTS'!$A$8:$AI$18</definedName>
    <definedName name="_xlnm._FilterDatabase" localSheetId="3" hidden="1">'INCOME STATEMENT'!$A$2:$AE$46</definedName>
    <definedName name="_xlnm._FilterDatabase" localSheetId="17" hidden="1">#REF!</definedName>
    <definedName name="_xlnm._FilterDatabase" localSheetId="14" hidden="1">'PRODUCTION DATA'!$A$42:$W$68</definedName>
    <definedName name="_xlnm._FilterDatabase" localSheetId="4" hidden="1">'REVENUE BREAKDOWN'!$A$2:$T$48</definedName>
    <definedName name="_xlnm._FilterDatabase" localSheetId="2" hidden="1">'SELECTED FINANCIAL RATIOS'!$A$10:$T$16</definedName>
    <definedName name="_xlnm._FilterDatabase" hidden="1">#REF!</definedName>
    <definedName name="a" localSheetId="17" hidden="1">{"IASTrail",#N/A,FALSE,"IAS"}</definedName>
    <definedName name="a" localSheetId="14" hidden="1">{"IASTrail",#N/A,FALSE,"IAS"}</definedName>
    <definedName name="a" hidden="1">{"IASTrail",#N/A,FALSE,"IAS"}</definedName>
    <definedName name="a_1" localSheetId="17">#REF!</definedName>
    <definedName name="a_1">#REF!</definedName>
    <definedName name="a_21" localSheetId="17">#REF!</definedName>
    <definedName name="a_21">#REF!</definedName>
    <definedName name="a_22" localSheetId="17">#REF!</definedName>
    <definedName name="a_22">#REF!</definedName>
    <definedName name="a_23" localSheetId="17">#REF!</definedName>
    <definedName name="a_23">#REF!</definedName>
    <definedName name="a_25" localSheetId="17">#REF!</definedName>
    <definedName name="a_25">#REF!</definedName>
    <definedName name="a_26" localSheetId="17">#REF!</definedName>
    <definedName name="a_26">#REF!</definedName>
    <definedName name="a_27" localSheetId="17">#REF!</definedName>
    <definedName name="a_27">#REF!</definedName>
    <definedName name="a_30" localSheetId="17">#REF!</definedName>
    <definedName name="a_30">#REF!</definedName>
    <definedName name="aaa" localSheetId="17" hidden="1">{"AnalRSA",#N/A,TRUE,"PL-Anal";"AnalIAS",#N/A,TRUE,"PL-Anal"}</definedName>
    <definedName name="aaa" localSheetId="14" hidden="1">{"AnalRSA",#N/A,TRUE,"PL-Anal";"AnalIAS",#N/A,TRUE,"PL-Anal"}</definedName>
    <definedName name="aaa" hidden="1">{"AnalRSA",#N/A,TRUE,"PL-Anal";"AnalIAS",#N/A,TRUE,"PL-Anal"}</definedName>
    <definedName name="ad" localSheetId="17" hidden="1">{"IAS_ShortView_1",#N/A,FALSE,"IAS";"IAS_ShortView_2",#N/A,FALSE,"IAS";"IAS_ShortView_3",#N/A,FALSE,"IAS";"IAS_ShortView_4",#N/A,FALSE,"IAS";"IAS_ShortView_5",#N/A,FALSE,"IAS";"IAS_ShortView_6",#N/A,FALSE,"IAS";"IAS_ShortView_7",#N/A,FALSE,"IAS";"CFDir - Zoomed In",#N/A,FALSE,"CF DIR"}</definedName>
    <definedName name="ad" localSheetId="14" hidden="1">{"IAS_ShortView_1",#N/A,FALSE,"IAS";"IAS_ShortView_2",#N/A,FALSE,"IAS";"IAS_ShortView_3",#N/A,FALSE,"IAS";"IAS_ShortView_4",#N/A,FALSE,"IAS";"IAS_ShortView_5",#N/A,FALSE,"IAS";"IAS_ShortView_6",#N/A,FALSE,"IAS";"IAS_ShortView_7",#N/A,FALSE,"IAS";"CFDir - Zoomed In",#N/A,FALSE,"CF DIR"}</definedName>
    <definedName name="ad" hidden="1">{"IAS_ShortView_1",#N/A,FALSE,"IAS";"IAS_ShortView_2",#N/A,FALSE,"IAS";"IAS_ShortView_3",#N/A,FALSE,"IAS";"IAS_ShortView_4",#N/A,FALSE,"IAS";"IAS_ShortView_5",#N/A,FALSE,"IAS";"IAS_ShortView_6",#N/A,FALSE,"IAS";"IAS_ShortView_7",#N/A,FALSE,"IAS";"CFDir - Zoomed In",#N/A,FALSE,"CF DIR"}</definedName>
    <definedName name="Aktiv_1" localSheetId="17">#REF!</definedName>
    <definedName name="Aktiv_1">#REF!</definedName>
    <definedName name="Aktiv_21" localSheetId="17">#REF!</definedName>
    <definedName name="Aktiv_21">#REF!</definedName>
    <definedName name="Aktiv_22" localSheetId="17">#REF!</definedName>
    <definedName name="Aktiv_22">#REF!</definedName>
    <definedName name="Aktiv_23" localSheetId="17">#REF!</definedName>
    <definedName name="Aktiv_23">#REF!</definedName>
    <definedName name="Aktiv_25" localSheetId="17">#REF!</definedName>
    <definedName name="Aktiv_25">#REF!</definedName>
    <definedName name="Aktiv_26" localSheetId="17">#REF!</definedName>
    <definedName name="Aktiv_26">#REF!</definedName>
    <definedName name="Aktiv_26NEW" localSheetId="17">#REF!</definedName>
    <definedName name="Aktiv_26NEW">#REF!</definedName>
    <definedName name="Aktiv_27" localSheetId="17">#REF!</definedName>
    <definedName name="Aktiv_27">#REF!</definedName>
    <definedName name="Aktiv_27New" localSheetId="17">#REF!</definedName>
    <definedName name="Aktiv_27New">#REF!</definedName>
    <definedName name="Aktiv_30" localSheetId="17">#REF!</definedName>
    <definedName name="Aktiv_30">#REF!</definedName>
    <definedName name="Aktiv_30NEW" localSheetId="17">#REF!</definedName>
    <definedName name="Aktiv_30NEW">#REF!</definedName>
    <definedName name="Aktiv_SUM" localSheetId="17">#REF!</definedName>
    <definedName name="Aktiv_SUM">#REF!</definedName>
    <definedName name="AP_other" localSheetId="17">#REF!</definedName>
    <definedName name="AP_other">#REF!</definedName>
    <definedName name="AP_tax" localSheetId="17">#REF!</definedName>
    <definedName name="AP_tax">#REF!</definedName>
    <definedName name="APP">[6]POV!$B$2</definedName>
    <definedName name="AR" localSheetId="17">#REF!</definedName>
    <definedName name="AR">#REF!</definedName>
    <definedName name="AR_note" localSheetId="17">#REF!</definedName>
    <definedName name="AR_note">#REF!</definedName>
    <definedName name="as" localSheetId="17" hidden="1">{#N/A,#N/A,TRUE,"MAP";#N/A,#N/A,TRUE,"STEPS";#N/A,#N/A,TRUE,"RULES"}</definedName>
    <definedName name="as" localSheetId="14" hidden="1">{#N/A,#N/A,TRUE,"MAP";#N/A,#N/A,TRUE,"STEPS";#N/A,#N/A,TRUE,"RULES"}</definedName>
    <definedName name="as" hidden="1">{#N/A,#N/A,TRUE,"MAP";#N/A,#N/A,TRUE,"STEPS";#N/A,#N/A,TRUE,"RULES"}</definedName>
    <definedName name="AS2DocOpenMode" hidden="1">"AS2DocumentEdit"</definedName>
    <definedName name="AtrailPrint" localSheetId="17">[5]Main!#REF!</definedName>
    <definedName name="AtrailPrint">[5]Main!#REF!</definedName>
    <definedName name="av3m" localSheetId="17">#REF!</definedName>
    <definedName name="av3m">#REF!</definedName>
    <definedName name="Average" localSheetId="17">#REF!</definedName>
    <definedName name="Average">#REF!</definedName>
    <definedName name="AVRATE" localSheetId="17">#REF!</definedName>
    <definedName name="AVRATE">#REF!</definedName>
    <definedName name="BA_Alt_Chks" localSheetId="17" hidden="1">#REF!</definedName>
    <definedName name="BA_Alt_Chks" hidden="1">#REF!</definedName>
    <definedName name="BA_Err_Chks" localSheetId="17" hidden="1">#REF!</definedName>
    <definedName name="BA_Err_Chks" hidden="1">#REF!</definedName>
    <definedName name="BA_LU" localSheetId="17" hidden="1">#REF!</definedName>
    <definedName name="BA_LU" hidden="1">#REF!</definedName>
    <definedName name="BA_Sens_Chks" localSheetId="17" hidden="1">#REF!</definedName>
    <definedName name="BA_Sens_Chks" hidden="1">#REF!</definedName>
    <definedName name="BA_TS_Ass" localSheetId="17" hidden="1">#REF!</definedName>
    <definedName name="BA_TS_Ass" hidden="1">#REF!</definedName>
    <definedName name="BdEnd" localSheetId="17">[5]Main!#REF!</definedName>
    <definedName name="BdEnd">[5]Main!#REF!</definedName>
    <definedName name="BdPrint" localSheetId="17">[5]Main!#REF!</definedName>
    <definedName name="BdPrint">[5]Main!#REF!</definedName>
    <definedName name="Brent" localSheetId="17">[7]MAIN_PARAMETERS!#REF!</definedName>
    <definedName name="Brent">[7]MAIN_PARAMETERS!#REF!</definedName>
    <definedName name="BS_1" localSheetId="17">#REF!</definedName>
    <definedName name="BS_1">#REF!</definedName>
    <definedName name="BS_2" localSheetId="17">#REF!</definedName>
    <definedName name="BS_2">#REF!</definedName>
    <definedName name="BS_3" localSheetId="17">#REF!</definedName>
    <definedName name="BS_3">#REF!</definedName>
    <definedName name="CAT">[6]POV!$B$1</definedName>
    <definedName name="CAT_CUR" localSheetId="17">#REF!</definedName>
    <definedName name="CAT_CUR">#REF!</definedName>
    <definedName name="CAT_LIST">[4]Params!$A$13:$A$14</definedName>
    <definedName name="CF" localSheetId="17">#REF!</definedName>
    <definedName name="CF">#REF!</definedName>
    <definedName name="CFwork" localSheetId="17">#REF!</definedName>
    <definedName name="CFwork">#REF!</definedName>
    <definedName name="check_20_2" localSheetId="17">#REF!</definedName>
    <definedName name="check_20_2">#REF!</definedName>
    <definedName name="check_20_2_np_cost" localSheetId="17">#REF!</definedName>
    <definedName name="check_20_2_np_cost">#REF!</definedName>
    <definedName name="check_20_2_np_sales" localSheetId="17">#REF!</definedName>
    <definedName name="check_20_2_np_sales">#REF!</definedName>
    <definedName name="check_20_2_sop_cost" localSheetId="17">#REF!</definedName>
    <definedName name="check_20_2_sop_cost">#REF!</definedName>
    <definedName name="check_20_2_sop_sales" localSheetId="17">#REF!</definedName>
    <definedName name="check_20_2_sop_sales">#REF!</definedName>
    <definedName name="Check_Bal" localSheetId="17">[8]Баланс!#REF!</definedName>
    <definedName name="Check_Bal">[8]Баланс!#REF!</definedName>
    <definedName name="check_ТЭП_Добыча_1" localSheetId="17">#REF!</definedName>
    <definedName name="check_ТЭП_Добыча_1">#REF!</definedName>
    <definedName name="check_ТЭП_Добыча_газ" localSheetId="17">#REF!</definedName>
    <definedName name="check_ТЭП_Добыча_газ">#REF!</definedName>
    <definedName name="check_ТЭП_Добыча_ГРП" localSheetId="17">#REF!</definedName>
    <definedName name="check_ТЭП_Добыча_ГРП">#REF!</definedName>
    <definedName name="check_ТЭП_Добыча_КРС" localSheetId="17">#REF!</definedName>
    <definedName name="check_ТЭП_Добыча_КРС">#REF!</definedName>
    <definedName name="check_ТЭП_Добыча_нефть" localSheetId="17">#REF!</definedName>
    <definedName name="check_ТЭП_Добыча_нефть">#REF!</definedName>
    <definedName name="check_ТЭП_Добыча_НО" localSheetId="17">#REF!</definedName>
    <definedName name="check_ТЭП_Добыча_НО">#REF!</definedName>
    <definedName name="check_ТЭП_Добыча_ТРС" localSheetId="17">#REF!</definedName>
    <definedName name="check_ТЭП_Добыча_ТРС">#REF!</definedName>
    <definedName name="check_ТЭП_НПЗ" localSheetId="17">#REF!</definedName>
    <definedName name="check_ТЭП_НПЗ">#REF!</definedName>
    <definedName name="Closing" localSheetId="17">#REF!</definedName>
    <definedName name="Closing">#REF!</definedName>
    <definedName name="Complexity_Index">[9]Cover!$F$50</definedName>
    <definedName name="Condensate_Excise" localSheetId="17">[7]MAIN_PARAMETERS!#REF!</definedName>
    <definedName name="Condensate_Excise">[7]MAIN_PARAMETERS!#REF!</definedName>
    <definedName name="COST_BREAKDOWN_BY_REGION" localSheetId="7">[10]MENU!$B$23</definedName>
    <definedName name="CPC_Tariff_Inflation" localSheetId="17">[7]MAIN_PARAMETERS!#REF!</definedName>
    <definedName name="CPC_Tariff_Inflation">[7]MAIN_PARAMETERS!#REF!</definedName>
    <definedName name="CR" localSheetId="17">#REF!</definedName>
    <definedName name="CR">#REF!</definedName>
    <definedName name="CustomDuties_Crude" localSheetId="17">[7]MAIN_PARAMETERS!#REF!</definedName>
    <definedName name="CustomDuties_Crude">[7]MAIN_PARAMETERS!#REF!</definedName>
    <definedName name="CustomDuties_Products" localSheetId="17">[7]MAIN_PARAMETERS!#REF!</definedName>
    <definedName name="CustomDuties_Products">[7]MAIN_PARAMETERS!#REF!</definedName>
    <definedName name="DATE" localSheetId="17">[11]PL!#REF!</definedName>
    <definedName name="DATE">[11]PL!#REF!</definedName>
    <definedName name="DATE_CDA">[12]PL_MAP!$H$4</definedName>
    <definedName name="DATE_Q102" localSheetId="17">#REF!</definedName>
    <definedName name="DATE_Q102">#REF!</definedName>
    <definedName name="DATE_Q202" localSheetId="17">#REF!</definedName>
    <definedName name="DATE_Q202">#REF!</definedName>
    <definedName name="DATE_Q302" localSheetId="17">#REF!</definedName>
    <definedName name="DATE_Q302">#REF!</definedName>
    <definedName name="Diesel_Excise" localSheetId="17">[7]MAIN_PARAMETERS!#REF!</definedName>
    <definedName name="Diesel_Excise">[7]MAIN_PARAMETERS!#REF!</definedName>
    <definedName name="DieselDemandGrowth" localSheetId="17">[7]MAIN_PARAMETERS!#REF!</definedName>
    <definedName name="DieselDemandGrowth">[7]MAIN_PARAMETERS!#REF!</definedName>
    <definedName name="Domestic_Crude_Price" localSheetId="17">[7]MAIN_PARAMETERS!#REF!</definedName>
    <definedName name="Domestic_Crude_Price">[7]MAIN_PARAMETERS!#REF!</definedName>
    <definedName name="DRE" localSheetId="17">#REF!</definedName>
    <definedName name="DRE">#REF!</definedName>
    <definedName name="DSM">[12]PL_MAP!$H$5</definedName>
    <definedName name="DSM_SUB">[12]PL_MAP!$J$5</definedName>
    <definedName name="DSM_SUB_OPER" localSheetId="17">[12]PL_MAP!#REF!</definedName>
    <definedName name="DSM_SUB_OPER">[12]PL_MAP!#REF!</definedName>
    <definedName name="DSM_SUBPAR">[12]PL_MAP!$DG$5</definedName>
    <definedName name="end3m" localSheetId="17">#REF!</definedName>
    <definedName name="end3m">#REF!</definedName>
    <definedName name="EPMWorkbookOptions_1" hidden="1">"jl0AAB+LCAAAAAAABADtXG1vokoY/b7J/gfjd4WRF7WxbljUllwEw0t7m6YhIGMla8EFWtt/f1FRQanFluYyyKabtDPPPMw5nJlnZpiZzq/Xp1nlBbqe5diXVVDHqxVojx3Tsh8vq8/+pAbo6q/uzx+dW8f9YzjOH3HuB6ZeJShnexevnnlZnfr+/ALDFotFfUHUHfcRa+A4wP4d8vJ4Cp/06tbY+ti4Ztmer9tjWA2eWql0WMe24Xj5TMVh"</definedName>
    <definedName name="EPMWorkbookOptions_2" hidden="1">"n10X2v6NBRerzFh2T/f1MDVIF/QnuH7s9pE+fJo/u9bqmaoH3ZELJzDwN4b1AEa1qw1GQ+33iBVuAa7dh4VAs1EHdJ0k6gBQFy0c4JinzzFjPsYetHtB0FhRkEWe6zEKJwpB0v7fE33mwYcOtqzQrnrMfD6zxnqEytTV3PiIe4kkh+i7sZrsVWDN3QGdKbKCzCF8MqCr2tbfZ7jyes8ySv9KlO4e6vfBD8MqKsMHmA8MD1xdW9DV3fH0bWdU"</definedName>
    <definedName name="EPMWorkbookOptions_3" hidden="1">"CWRyYVuzy6rvPsNqBTss1bOeoL1UbPpSHSw7tANevA1gjhipLyjXIPh1oCnFhcuL7FrMMci8WGTMAVBF6EtxyCOm0JAlsaeyiqwwV/093HKRcSuSwKpSAJa9i8NW2CLDHvYZWZX68rrLvlN6qEA9khPJuLZME9rbB3tH2Noa3VieZVgzy39LBaHLsKyoCkoHS8pMoG5Zo+4SbgcL/ziC+eNaZYNB7XGKIjEcjzSMzQAEbRA8I8vcgGPDERvC"</definedName>
    <definedName name="EPMWorkbookOptions_4" hidden="1">"UII+lFPQfhvLUR7SADbjNqRBhAMxtDFERlZIA5FGymaohDQOmRVHaL8JhRsiDmA36kYax2YY/f+AiBkfHfJGwe5WlA6GxfLU2T2UdWaOG9Y1IeNY0RX6hJIJrKwKso7tw1d/oL84ruUH9Votm60LH+Ttlb+2Hqez4L8vwxkc+9DcTFKsnZ+jNinqM7Bcz48ASs7fc7RF/T7haa2ymIFEfazfYA3QFA6IFog4SHq3q7Kia0K3i3ew9S+J3r35"</definedName>
    <definedName name="EPMWorkbookOptions_5" hidden="1">"TH8buc4cuoFSAUVTE2hMahRtkjWyMWnXWhSENVyHDdI0mmTTIJZPjpdKcMzr3vbFreeoSQx9MAcOTQ5nwiGJu8l/Y7m8xQIKb+B4mllx6PlTc+P3X266sseWBDIlZbUiMuIBvvxXshJdHuMBjZM4XZISlYo8GJVaSdIKBQAOUCelg6XpkyNh5ftC4IkLWElREMfJFo6nD4KggEFwS+Pely1OYHhN6o9QV2zWxNwEtMhMSUwiMSOpz3PDkpk4"</definedName>
    <definedName name="EPMWorkbookOptions_6" hidden="1">"M4yq9bjBoGTnXd0slyxTbRzIMzH5iY2nfRVJiIwEQVEkSaaPjI3iRcbP7m0JHZYSPQbnU9+8EoRKNwHeajXTC5UooFBjVMY7V5ZPt5chdF6K9hick75uJs83aJogTphwkMVT65rDuEr7AJzzikEiJQL6DTdriTRLiexTAnCypGSfEuRVkp+Il34zTCZfmajixbtPbxoPPeZSoNmRcdduI99cM5RGyUaUDUAjz0Z+uvLTtgVm0p3TxevOv3Yo"</definedName>
    <definedName name="EPMWorkbookOptions_7" hidden="1">"JnRbKvUYnNP2fmYi1OYJQtVh22i3yXbNNAyiRlKgVTMmTb2m0yZhtAmq0ZiYORDql04yhV5zqdOsCRFSnYA5G0Y4rSCTqG9g5YzXqN5lhQRt9FnJUew7+cxAJgGwVbyR2tfPtYauS8Ueg3P64ZBMBNsu3ogtQuT6m7Ok/kZdpplxocpnO0w74KIQu2UyY6OvSqhzkZ/O/IQTcpl046CA50pWHMZHHFeSqJ7thtEkPjRBFPolITtChv9oZxzu"</definedName>
    <definedName name="EPMWorkbookOptions_8" hidden="1">"ExhhRUGRRF5GnZL89O3pzw5n07UX8LTEksK4TBs4oOvnewYskRCqJGSfENAoCYk3GaIkJN5k2qgTkqNId+olE9kEvAIegvjyJXmh51wK9jtIERjUWclPMz7tjpVs2nABz4d86sbH0FsuFZoNEawqawUgI8PmmsIoVptkow6WdD11LHVjHng7vMY7mnh49XdHghMXelPRFufQ3lzzE09c2bEzqLtLp6It6y9wY7mfvLLd3HEetFF/RePG+jAj"</definedName>
    <definedName name="EPMWorkbookOptions_9" hidden="1">"br8ww7fW4bwb3bV0YwaH0H3ceThI//lj5za8U737H/+5L/yOXQAA"</definedName>
    <definedName name="Ex_Rate" localSheetId="17">[7]MAIN_PARAMETERS!#REF!</definedName>
    <definedName name="Ex_Rate" localSheetId="14">[7]MAIN_PARAMETERS!#REF!</definedName>
    <definedName name="Ex_Rate">[7]MAIN_PARAMETERS!#REF!</definedName>
    <definedName name="Excise_List" localSheetId="17">[7]MAIN_PARAMETERS!#REF!</definedName>
    <definedName name="Excise_List" localSheetId="14">[7]MAIN_PARAMETERS!#REF!</definedName>
    <definedName name="Excise_List">[7]MAIN_PARAMETERS!#REF!</definedName>
    <definedName name="EXPORT_FA_DIR" localSheetId="17">[7]MAIN_PARAMETERS!#REF!</definedName>
    <definedName name="EXPORT_FA_DIR" localSheetId="14">[7]MAIN_PARAMETERS!#REF!</definedName>
    <definedName name="EXPORT_FA_DIR">[7]MAIN_PARAMETERS!#REF!</definedName>
    <definedName name="exrate1">[13]НЕДЕЛИ!$D$4</definedName>
    <definedName name="exrate2">[13]НЕДЕЛИ!$D$5</definedName>
    <definedName name="exrate3">[13]НЕДЕЛИ!$D$6</definedName>
    <definedName name="exrate4">[13]НЕДЕЛИ!$D$7</definedName>
    <definedName name="f">[14]Main!$B$21</definedName>
    <definedName name="FA_SLAV_TN_Quota" localSheetId="17">[7]MAIN_PARAMETERS!#REF!</definedName>
    <definedName name="FA_SLAV_TN_Quota">[7]MAIN_PARAMETERS!#REF!</definedName>
    <definedName name="Form5Z" localSheetId="17">#REF!</definedName>
    <definedName name="Form5Z">#REF!</definedName>
    <definedName name="Format" localSheetId="17">#REF!</definedName>
    <definedName name="Format">#REF!</definedName>
    <definedName name="FRE">[15]POV!$A$1</definedName>
    <definedName name="fuck" localSheetId="17">[12]PL_MAP!#REF!</definedName>
    <definedName name="fuck">[12]PL_MAP!#REF!</definedName>
    <definedName name="FuelOil_Excise" localSheetId="17">[7]MAIN_PARAMETERS!#REF!</definedName>
    <definedName name="FuelOil_Excise">[7]MAIN_PARAMETERS!#REF!</definedName>
    <definedName name="FuelOilDemandGrowth" localSheetId="17">[7]MAIN_PARAMETERS!#REF!</definedName>
    <definedName name="FuelOilDemandGrowth">[7]MAIN_PARAMETERS!#REF!</definedName>
    <definedName name="Header" localSheetId="17">#REF!</definedName>
    <definedName name="Header">#REF!</definedName>
    <definedName name="HighOctane_Excise" localSheetId="17">[7]MAIN_PARAMETERS!#REF!</definedName>
    <definedName name="HighOctane_Excise">[7]MAIN_PARAMETERS!#REF!</definedName>
    <definedName name="HighOctaneDemandGrowth" localSheetId="17">[7]MAIN_PARAMETERS!#REF!</definedName>
    <definedName name="HighOctaneDemandGrowth">[7]MAIN_PARAMETERS!#REF!</definedName>
    <definedName name="HL_Sheet_Main" localSheetId="17" hidden="1">[16]Cover!#REF!</definedName>
    <definedName name="HL_Sheet_Main" hidden="1">[16]Cover!#REF!</definedName>
    <definedName name="HL_Sheet_Main_10" localSheetId="17" hidden="1">#REF!</definedName>
    <definedName name="HL_Sheet_Main_10" hidden="1">#REF!</definedName>
    <definedName name="HL_Sheet_Main_11" localSheetId="17" hidden="1">#REF!</definedName>
    <definedName name="HL_Sheet_Main_11" hidden="1">#REF!</definedName>
    <definedName name="HL_Sheet_Main_12" localSheetId="17" hidden="1">#REF!</definedName>
    <definedName name="HL_Sheet_Main_12" hidden="1">#REF!</definedName>
    <definedName name="HL_Sheet_Main_13" localSheetId="17" hidden="1">#REF!</definedName>
    <definedName name="HL_Sheet_Main_13" hidden="1">#REF!</definedName>
    <definedName name="HL_Sheet_Main_14" localSheetId="17" hidden="1">#REF!</definedName>
    <definedName name="HL_Sheet_Main_14" hidden="1">#REF!</definedName>
    <definedName name="HL_Sheet_Main_15" localSheetId="17" hidden="1">#REF!</definedName>
    <definedName name="HL_Sheet_Main_15" hidden="1">#REF!</definedName>
    <definedName name="HL_Sheet_Main_16" localSheetId="17" hidden="1">#REF!</definedName>
    <definedName name="HL_Sheet_Main_16" hidden="1">#REF!</definedName>
    <definedName name="HL_Sheet_Main_17" localSheetId="17" hidden="1">#REF!</definedName>
    <definedName name="HL_Sheet_Main_17" hidden="1">#REF!</definedName>
    <definedName name="HL_Sheet_Main_2" localSheetId="17" hidden="1">#REF!</definedName>
    <definedName name="HL_Sheet_Main_2" hidden="1">#REF!</definedName>
    <definedName name="HL_Sheet_Main_3" localSheetId="17" hidden="1">#REF!</definedName>
    <definedName name="HL_Sheet_Main_3" hidden="1">#REF!</definedName>
    <definedName name="HL_Sheet_Main_4" localSheetId="17" hidden="1">#REF!</definedName>
    <definedName name="HL_Sheet_Main_4" hidden="1">#REF!</definedName>
    <definedName name="HL_Sheet_Main_5" localSheetId="17" hidden="1">#REF!</definedName>
    <definedName name="HL_Sheet_Main_5" hidden="1">#REF!</definedName>
    <definedName name="HL_Sheet_Main_6" localSheetId="17" hidden="1">#REF!</definedName>
    <definedName name="HL_Sheet_Main_6" hidden="1">#REF!</definedName>
    <definedName name="HL_Sheet_Main_7" localSheetId="17" hidden="1">#REF!</definedName>
    <definedName name="HL_Sheet_Main_7" hidden="1">#REF!</definedName>
    <definedName name="HL_Sheet_Main_8" localSheetId="17" hidden="1">#REF!</definedName>
    <definedName name="HL_Sheet_Main_8" hidden="1">#REF!</definedName>
    <definedName name="HL_Sheet_Main_9" localSheetId="17" hidden="1">#REF!</definedName>
    <definedName name="HL_Sheet_Main_9" hidden="1">#REF!</definedName>
    <definedName name="HL_TOC_1" localSheetId="17" hidden="1">#REF!</definedName>
    <definedName name="HL_TOC_1" hidden="1">#REF!</definedName>
    <definedName name="HL_TOC_2" localSheetId="17" hidden="1">#REF!</definedName>
    <definedName name="HL_TOC_2" hidden="1">#REF!</definedName>
    <definedName name="HL_TOC_3" localSheetId="17" hidden="1">#REF!</definedName>
    <definedName name="HL_TOC_3" hidden="1">#REF!</definedName>
    <definedName name="HL_TOC_4" localSheetId="17" hidden="1">#REF!</definedName>
    <definedName name="HL_TOC_4" hidden="1">#REF!</definedName>
    <definedName name="HL_TOC_5" localSheetId="17" hidden="1">#REF!</definedName>
    <definedName name="HL_TOC_5" hidden="1">#REF!</definedName>
    <definedName name="IAS_All" localSheetId="17">#REF!</definedName>
    <definedName name="IAS_All">#REF!</definedName>
    <definedName name="IAS_BS" localSheetId="17">#REF!</definedName>
    <definedName name="IAS_BS">#REF!</definedName>
    <definedName name="IAS_Notes" localSheetId="17">#REF!</definedName>
    <definedName name="IAS_Notes">#REF!</definedName>
    <definedName name="IAS_PL" localSheetId="17">#REF!</definedName>
    <definedName name="IAS_PL">#REF!</definedName>
    <definedName name="IAS_trail" localSheetId="17">#REF!</definedName>
    <definedName name="IAS_trail">#REF!</definedName>
    <definedName name="IAS1st" localSheetId="17">#REF!</definedName>
    <definedName name="IAS1st">#REF!</definedName>
    <definedName name="IASCode" localSheetId="17">#REF!</definedName>
    <definedName name="IASCode">#REF!</definedName>
    <definedName name="IASFS" localSheetId="17">#REF!</definedName>
    <definedName name="IASFS">#REF!</definedName>
    <definedName name="IASMapping" localSheetId="17">#REF!</definedName>
    <definedName name="IASMapping">#REF!</definedName>
    <definedName name="Impact_Index">[9]Cover!$F$52</definedName>
    <definedName name="inventory" localSheetId="17">#REF!</definedName>
    <definedName name="inventory">#REF!</definedName>
    <definedName name="JetFuelOilDemandGrowth" localSheetId="17">[7]MAIN_PARAMETERS!#REF!</definedName>
    <definedName name="JetFuelOilDemandGrowth">[7]MAIN_PARAMETERS!#REF!</definedName>
    <definedName name="Journals" localSheetId="17">#REF!</definedName>
    <definedName name="Journals">#REF!</definedName>
    <definedName name="JournalTemplate" localSheetId="17">#REF!</definedName>
    <definedName name="JournalTemplate">#REF!</definedName>
    <definedName name="Jr" localSheetId="17">#REF!</definedName>
    <definedName name="Jr">#REF!</definedName>
    <definedName name="JR1st" localSheetId="17">#REF!</definedName>
    <definedName name="JR1st">#REF!</definedName>
    <definedName name="JR1st29" localSheetId="17">#REF!</definedName>
    <definedName name="JR1st29">#REF!</definedName>
    <definedName name="JR1stUSD" localSheetId="17">#REF!</definedName>
    <definedName name="JR1stUSD">#REF!</definedName>
    <definedName name="JR2nd" localSheetId="17">#REF!</definedName>
    <definedName name="JR2nd">#REF!</definedName>
    <definedName name="JR2nd29" localSheetId="17">#REF!</definedName>
    <definedName name="JR2nd29">#REF!</definedName>
    <definedName name="JR2ndUSD" localSheetId="17">#REF!</definedName>
    <definedName name="JR2ndUSD">#REF!</definedName>
    <definedName name="JR3rd" localSheetId="17">#REF!</definedName>
    <definedName name="JR3rd">#REF!</definedName>
    <definedName name="JR3rd29" localSheetId="17">#REF!</definedName>
    <definedName name="JR3rd29">#REF!</definedName>
    <definedName name="JR3rdUSD" localSheetId="17">#REF!</definedName>
    <definedName name="JR3rdUSD">#REF!</definedName>
    <definedName name="JR4th" localSheetId="17">#REF!</definedName>
    <definedName name="JR4th">#REF!</definedName>
    <definedName name="JR4th29" localSheetId="17">#REF!</definedName>
    <definedName name="JR4th29">#REF!</definedName>
    <definedName name="JR4thUSD" localSheetId="17">#REF!</definedName>
    <definedName name="JR4thUSD">#REF!</definedName>
    <definedName name="JR5th" localSheetId="17">#REF!</definedName>
    <definedName name="JR5th">#REF!</definedName>
    <definedName name="JR5th29" localSheetId="17">#REF!</definedName>
    <definedName name="JR5th29">#REF!</definedName>
    <definedName name="JR5thUSD" localSheetId="17">#REF!</definedName>
    <definedName name="JR5thUSD">#REF!</definedName>
    <definedName name="JRcodes_1" localSheetId="17">[5]Cons_Journals!#REF!</definedName>
    <definedName name="JRcodes_1">[5]Cons_Journals!#REF!</definedName>
    <definedName name="JrDes" localSheetId="17">[5]Main!#REF!</definedName>
    <definedName name="JrDes">[5]Main!#REF!</definedName>
    <definedName name="JRHeader" localSheetId="17">#REF!</definedName>
    <definedName name="JRHeader">#REF!</definedName>
    <definedName name="JRHeader29" localSheetId="17">#REF!</definedName>
    <definedName name="JRHeader29">#REF!</definedName>
    <definedName name="JRHeaderUSD" localSheetId="17">#REF!</definedName>
    <definedName name="JRHeaderUSD">#REF!</definedName>
    <definedName name="JRImpact" localSheetId="17">#REF!</definedName>
    <definedName name="JRImpact">#REF!</definedName>
    <definedName name="JRImpact29" localSheetId="17">#REF!</definedName>
    <definedName name="JRImpact29">#REF!</definedName>
    <definedName name="JRImpactUSD" localSheetId="17">#REF!</definedName>
    <definedName name="JRImpactUSD">#REF!</definedName>
    <definedName name="JRLines" localSheetId="17">#REF!</definedName>
    <definedName name="JRLines">#REF!</definedName>
    <definedName name="JRlines_1" localSheetId="17">[5]Cons_Journals!#REF!</definedName>
    <definedName name="JRlines_1">[5]Cons_Journals!#REF!</definedName>
    <definedName name="JRlines_2" localSheetId="17">[5]Cons_Journals!#REF!</definedName>
    <definedName name="JRlines_2">[5]Cons_Journals!#REF!</definedName>
    <definedName name="JRLines29" localSheetId="17">#REF!</definedName>
    <definedName name="JRLines29">#REF!</definedName>
    <definedName name="JRLinesUSD" localSheetId="17">#REF!</definedName>
    <definedName name="JRLinesUSD">#REF!</definedName>
    <definedName name="JrPLAnal" localSheetId="17">[5]Main!#REF!</definedName>
    <definedName name="JrPLAnal">[5]Main!#REF!</definedName>
    <definedName name="Kero_Excise" localSheetId="17">[7]MAIN_PARAMETERS!#REF!</definedName>
    <definedName name="Kero_Excise">[7]MAIN_PARAMETERS!#REF!</definedName>
    <definedName name="l" localSheetId="17" hidden="1">{#N/A,#N/A,TRUE,"MAP";#N/A,#N/A,TRUE,"STEPS";#N/A,#N/A,TRUE,"RULES"}</definedName>
    <definedName name="l" localSheetId="14" hidden="1">{#N/A,#N/A,TRUE,"MAP";#N/A,#N/A,TRUE,"STEPS";#N/A,#N/A,TRUE,"RULES"}</definedName>
    <definedName name="l" hidden="1">{#N/A,#N/A,TRUE,"MAP";#N/A,#N/A,TRUE,"STEPS";#N/A,#N/A,TRUE,"RULES"}</definedName>
    <definedName name="Lan" localSheetId="17">#REF!</definedName>
    <definedName name="Lan">#REF!</definedName>
    <definedName name="lang">[17]lang!$A$6</definedName>
    <definedName name="Language">[18]Main!$B$10</definedName>
    <definedName name="Light_Excise" localSheetId="17">[7]MAIN_PARAMETERS!#REF!</definedName>
    <definedName name="Light_Excise">[7]MAIN_PARAMETERS!#REF!</definedName>
    <definedName name="lo" localSheetId="17" hidden="1">{"IASBS",#N/A,FALSE,"IAS";"IASPL",#N/A,FALSE,"IAS";#N/A,#N/A,FALSE,"CF DIR";"IASNotes",#N/A,FALSE,"IAS";#N/A,#N/A,FALSE,"FA_1";#N/A,#N/A,FALSE,"Dep'n FC";#N/A,#N/A,FALSE,"Dep'n SE";#N/A,#N/A,FALSE,"Inv_1";#N/A,#N/A,FALSE,"NMG";#N/A,#N/A,FALSE,"Recon";#N/A,#N/A,FALSE,"EPS"}</definedName>
    <definedName name="lo" localSheetId="14" hidden="1">{"IASBS",#N/A,FALSE,"IAS";"IASPL",#N/A,FALSE,"IAS";#N/A,#N/A,FALSE,"CF DIR";"IASNotes",#N/A,FALSE,"IAS";#N/A,#N/A,FALSE,"FA_1";#N/A,#N/A,FALSE,"Dep'n FC";#N/A,#N/A,FALSE,"Dep'n SE";#N/A,#N/A,FALSE,"Inv_1";#N/A,#N/A,FALSE,"NMG";#N/A,#N/A,FALSE,"Recon";#N/A,#N/A,FALSE,"EPS"}</definedName>
    <definedName name="lo" hidden="1">{"IASBS",#N/A,FALSE,"IAS";"IASPL",#N/A,FALSE,"IAS";#N/A,#N/A,FALSE,"CF DIR";"IASNotes",#N/A,FALSE,"IAS";#N/A,#N/A,FALSE,"FA_1";#N/A,#N/A,FALSE,"Dep'n FC";#N/A,#N/A,FALSE,"Dep'n SE";#N/A,#N/A,FALSE,"Inv_1";#N/A,#N/A,FALSE,"NMG";#N/A,#N/A,FALSE,"Recon";#N/A,#N/A,FALSE,"EPS"}</definedName>
    <definedName name="LowOctane_Excise" localSheetId="17">[7]MAIN_PARAMETERS!#REF!</definedName>
    <definedName name="LowOctane_Excise">[7]MAIN_PARAMETERS!#REF!</definedName>
    <definedName name="LowOctaneDemandGrowth" localSheetId="17">[7]MAIN_PARAMETERS!#REF!</definedName>
    <definedName name="LowOctaneDemandGrowth">[7]MAIN_PARAMETERS!#REF!</definedName>
    <definedName name="LTI" localSheetId="17">#REF!</definedName>
    <definedName name="LTI">#REF!</definedName>
    <definedName name="LU_Complexity_type">[19]LU_Info!$C$13:$C$16</definedName>
    <definedName name="LU_Impact_type">[19]LU_Info!$C$20:$C$21</definedName>
    <definedName name="LU_Use_type">[19]LU_Info!$C$7:$C$8</definedName>
    <definedName name="M_Kaluga_D_2004" localSheetId="17">#REF!</definedName>
    <definedName name="M_Kaluga_D_2004">#REF!</definedName>
    <definedName name="M_Kaluga_D_2008" localSheetId="17">#REF!</definedName>
    <definedName name="M_Kaluga_D_2008">#REF!</definedName>
    <definedName name="M_Kaluga_HO_2004" localSheetId="17">#REF!</definedName>
    <definedName name="M_Kaluga_HO_2004">#REF!</definedName>
    <definedName name="M_Kaluga_HO_2008" localSheetId="17">#REF!</definedName>
    <definedName name="M_Kaluga_HO_2008">#REF!</definedName>
    <definedName name="M_Kaluga_LO_2004" localSheetId="17">#REF!</definedName>
    <definedName name="M_Kaluga_LO_2004">#REF!</definedName>
    <definedName name="M_Kaluga_LO_2008" localSheetId="17">#REF!</definedName>
    <definedName name="M_Kaluga_LO_2008">#REF!</definedName>
    <definedName name="M_Karelia_D_2004" localSheetId="17">#REF!</definedName>
    <definedName name="M_Karelia_D_2004">#REF!</definedName>
    <definedName name="M_Karelia_D_2008" localSheetId="17">#REF!</definedName>
    <definedName name="M_Karelia_D_2008">#REF!</definedName>
    <definedName name="M_Karelia_HO_2004" localSheetId="17">#REF!</definedName>
    <definedName name="M_Karelia_HO_2004">#REF!</definedName>
    <definedName name="M_Karelia_HO_2008" localSheetId="17">#REF!</definedName>
    <definedName name="M_Karelia_HO_2008">#REF!</definedName>
    <definedName name="M_Karelia_LO_2004" localSheetId="17">#REF!</definedName>
    <definedName name="M_Karelia_LO_2004">#REF!</definedName>
    <definedName name="M_Karelia_LO_2008" localSheetId="17">#REF!</definedName>
    <definedName name="M_Karelia_LO_2008">#REF!</definedName>
    <definedName name="M_Krasnodar_D_2008" localSheetId="17">#REF!</definedName>
    <definedName name="M_Krasnodar_D_2008">#REF!</definedName>
    <definedName name="M_Krasnodar_HO_2008" localSheetId="17">#REF!</definedName>
    <definedName name="M_Krasnodar_HO_2008">#REF!</definedName>
    <definedName name="M_Krasnodar_LO_2008" localSheetId="17">#REF!</definedName>
    <definedName name="M_Krasnodar_LO_2008">#REF!</definedName>
    <definedName name="M_Kursk_D_2004" localSheetId="17">#REF!</definedName>
    <definedName name="M_Kursk_D_2004">#REF!</definedName>
    <definedName name="M_Kursk_D_2008" localSheetId="17">#REF!</definedName>
    <definedName name="M_Kursk_D_2008">#REF!</definedName>
    <definedName name="M_Kursk_HO_2004" localSheetId="17">#REF!</definedName>
    <definedName name="M_Kursk_HO_2004">#REF!</definedName>
    <definedName name="M_Kursk_HO_2008" localSheetId="17">#REF!</definedName>
    <definedName name="M_Kursk_HO_2008">#REF!</definedName>
    <definedName name="M_Kursk_LO_2004" localSheetId="17">#REF!</definedName>
    <definedName name="M_Kursk_LO_2004">#REF!</definedName>
    <definedName name="M_Kursk_LO_2008" localSheetId="17">#REF!</definedName>
    <definedName name="M_Kursk_LO_2008">#REF!</definedName>
    <definedName name="M_Megapolis_D_2004" localSheetId="17">#REF!</definedName>
    <definedName name="M_Megapolis_D_2004">#REF!</definedName>
    <definedName name="M_Megapolis_D_2008" localSheetId="17">#REF!</definedName>
    <definedName name="M_Megapolis_D_2008">#REF!</definedName>
    <definedName name="M_Megapolis_HO_2004" localSheetId="17">#REF!</definedName>
    <definedName name="M_Megapolis_HO_2004">#REF!</definedName>
    <definedName name="M_Megapolis_HO_2008" localSheetId="17">#REF!</definedName>
    <definedName name="M_Megapolis_HO_2008">#REF!</definedName>
    <definedName name="M_Megapolis_LO_2004" localSheetId="17">#REF!</definedName>
    <definedName name="M_Megapolis_LO_2004">#REF!</definedName>
    <definedName name="M_Megapolis_LO_2008" localSheetId="17">#REF!</definedName>
    <definedName name="M_Megapolis_LO_2008">#REF!</definedName>
    <definedName name="M_Orenburg_D_2004" localSheetId="17">#REF!</definedName>
    <definedName name="M_Orenburg_D_2004">#REF!</definedName>
    <definedName name="M_Orenburg_D_2008" localSheetId="17">#REF!</definedName>
    <definedName name="M_Orenburg_D_2008">#REF!</definedName>
    <definedName name="M_Orenburg_HO_2004" localSheetId="17">#REF!</definedName>
    <definedName name="M_Orenburg_HO_2004">#REF!</definedName>
    <definedName name="M_Orenburg_HO_2008" localSheetId="17">#REF!</definedName>
    <definedName name="M_Orenburg_HO_2008">#REF!</definedName>
    <definedName name="M_Orenburg_LO_2004" localSheetId="17">#REF!</definedName>
    <definedName name="M_Orenburg_LO_2004">#REF!</definedName>
    <definedName name="M_Orenburg_LO_2008" localSheetId="17">#REF!</definedName>
    <definedName name="M_Orenburg_LO_2008">#REF!</definedName>
    <definedName name="M_PetrolComplex_D_2004" localSheetId="17">#REF!</definedName>
    <definedName name="M_PetrolComplex_D_2004">#REF!</definedName>
    <definedName name="M_PetrolComplex_D_2008" localSheetId="17">#REF!</definedName>
    <definedName name="M_PetrolComplex_D_2008">#REF!</definedName>
    <definedName name="M_PetrolComplex_HO_2004" localSheetId="17">#REF!</definedName>
    <definedName name="M_PetrolComplex_HO_2004">#REF!</definedName>
    <definedName name="M_PetrolComplex_HO_2008" localSheetId="17">#REF!</definedName>
    <definedName name="M_PetrolComplex_HO_2008">#REF!</definedName>
    <definedName name="M_PetrolComplex_LO_2004" localSheetId="17">#REF!</definedName>
    <definedName name="M_PetrolComplex_LO_2004">#REF!</definedName>
    <definedName name="M_PetrolComplex_LO_2008" localSheetId="17">#REF!</definedName>
    <definedName name="M_PetrolComplex_LO_2008">#REF!</definedName>
    <definedName name="M_Rostov_D_2004" localSheetId="17">#REF!</definedName>
    <definedName name="M_Rostov_D_2004">#REF!</definedName>
    <definedName name="M_Rostov_D_2008" localSheetId="17">#REF!</definedName>
    <definedName name="M_Rostov_D_2008">#REF!</definedName>
    <definedName name="M_Rostov_HO_2004" localSheetId="17">#REF!</definedName>
    <definedName name="M_Rostov_HO_2004">#REF!</definedName>
    <definedName name="M_Rostov_HO_2008" localSheetId="17">#REF!</definedName>
    <definedName name="M_Rostov_HO_2008">#REF!</definedName>
    <definedName name="M_Rostov_LO_2004" localSheetId="17">#REF!</definedName>
    <definedName name="M_Rostov_LO_2004">#REF!</definedName>
    <definedName name="M_Rostov_LO_2008" localSheetId="17">#REF!</definedName>
    <definedName name="M_Rostov_LO_2008">#REF!</definedName>
    <definedName name="M_Ryazan_D_2004" localSheetId="17">#REF!</definedName>
    <definedName name="M_Ryazan_D_2004">#REF!</definedName>
    <definedName name="M_Ryazan_D_2008" localSheetId="17">#REF!</definedName>
    <definedName name="M_Ryazan_D_2008">#REF!</definedName>
    <definedName name="M_Ryazan_HO_2004" localSheetId="17">#REF!</definedName>
    <definedName name="M_Ryazan_HO_2004">#REF!</definedName>
    <definedName name="M_Ryazan_HO_2008" localSheetId="17">#REF!</definedName>
    <definedName name="M_Ryazan_HO_2008">#REF!</definedName>
    <definedName name="M_Ryazan_LO_2004" localSheetId="17">#REF!</definedName>
    <definedName name="M_Ryazan_LO_2004">#REF!</definedName>
    <definedName name="M_Ryazan_LO_2008" localSheetId="17">#REF!</definedName>
    <definedName name="M_Ryazan_LO_2008">#REF!</definedName>
    <definedName name="M_Saratov_D_2004" localSheetId="17">#REF!</definedName>
    <definedName name="M_Saratov_D_2004">#REF!</definedName>
    <definedName name="M_Saratov_D_2008" localSheetId="17">#REF!</definedName>
    <definedName name="M_Saratov_D_2008">#REF!</definedName>
    <definedName name="M_Saratov_HO_2004" localSheetId="17">#REF!</definedName>
    <definedName name="M_Saratov_HO_2004">#REF!</definedName>
    <definedName name="M_Saratov_HO_2008" localSheetId="17">#REF!</definedName>
    <definedName name="M_Saratov_HO_2008">#REF!</definedName>
    <definedName name="M_Saratov_LO_2004" localSheetId="17">#REF!</definedName>
    <definedName name="M_Saratov_LO_2004">#REF!</definedName>
    <definedName name="M_Saratov_LO_2008" localSheetId="17">#REF!</definedName>
    <definedName name="M_Saratov_LO_2008">#REF!</definedName>
    <definedName name="M_StPetersburgBP_D_2008" localSheetId="17">#REF!</definedName>
    <definedName name="M_StPetersburgBP_D_2008">#REF!</definedName>
    <definedName name="M_StPetersburgBP_HO_2008" localSheetId="17">#REF!</definedName>
    <definedName name="M_StPetersburgBP_HO_2008">#REF!</definedName>
    <definedName name="M_StPetersburgBP_LO_2008" localSheetId="17">#REF!</definedName>
    <definedName name="M_StPetersburgBP_LO_2008">#REF!</definedName>
    <definedName name="M_StPetersburgTNK_D_2008" localSheetId="17">#REF!</definedName>
    <definedName name="M_StPetersburgTNK_D_2008">#REF!</definedName>
    <definedName name="M_StPetersburgTNK_HO_2008" localSheetId="17">#REF!</definedName>
    <definedName name="M_StPetersburgTNK_HO_2008">#REF!</definedName>
    <definedName name="M_StPetersburgTNK_LO_2008" localSheetId="17">#REF!</definedName>
    <definedName name="M_StPetersburgTNK_LO_2008">#REF!</definedName>
    <definedName name="M_TNKStolitsa_D_2004" localSheetId="17">#REF!</definedName>
    <definedName name="M_TNKStolitsa_D_2004">#REF!</definedName>
    <definedName name="M_TNKStolitsa_D_2008" localSheetId="17">#REF!</definedName>
    <definedName name="M_TNKStolitsa_D_2008">#REF!</definedName>
    <definedName name="M_TNKStolitsa_HO_2004" localSheetId="17">#REF!</definedName>
    <definedName name="M_TNKStolitsa_HO_2004">#REF!</definedName>
    <definedName name="M_TNKStolitsa_HO_2008" localSheetId="17">#REF!</definedName>
    <definedName name="M_TNKStolitsa_HO_2008">#REF!</definedName>
    <definedName name="M_TNKStolitsa_LO_2004" localSheetId="17">#REF!</definedName>
    <definedName name="M_TNKStolitsa_LO_2004">#REF!</definedName>
    <definedName name="M_TNKStolitsa_LO_2008" localSheetId="17">#REF!</definedName>
    <definedName name="M_TNKStolitsa_LO_2008">#REF!</definedName>
    <definedName name="M_Tula_D_2004" localSheetId="17">#REF!</definedName>
    <definedName name="M_Tula_D_2004">#REF!</definedName>
    <definedName name="M_Tula_D_2008" localSheetId="17">#REF!</definedName>
    <definedName name="M_Tula_D_2008">#REF!</definedName>
    <definedName name="M_Tula_HO_2004" localSheetId="17">#REF!</definedName>
    <definedName name="M_Tula_HO_2004">#REF!</definedName>
    <definedName name="M_Tula_HO_2008" localSheetId="17">#REF!</definedName>
    <definedName name="M_Tula_HO_2008">#REF!</definedName>
    <definedName name="M_Tula_LO_2004" localSheetId="17">#REF!</definedName>
    <definedName name="M_Tula_LO_2004">#REF!</definedName>
    <definedName name="M_Tula_LO_2008" localSheetId="17">#REF!</definedName>
    <definedName name="M_Tula_LO_2008">#REF!</definedName>
    <definedName name="M_UNK_D_2004" localSheetId="17">#REF!</definedName>
    <definedName name="M_UNK_D_2004">#REF!</definedName>
    <definedName name="M_UNK_D_2008" localSheetId="17">#REF!</definedName>
    <definedName name="M_UNK_D_2008">#REF!</definedName>
    <definedName name="M_UNK_HO_2004" localSheetId="17">#REF!</definedName>
    <definedName name="M_UNK_HO_2004">#REF!</definedName>
    <definedName name="M_UNK_HO_2008" localSheetId="17">#REF!</definedName>
    <definedName name="M_UNK_HO_2008">#REF!</definedName>
    <definedName name="M_UNK_LO_2004" localSheetId="17">#REF!</definedName>
    <definedName name="M_UNK_LO_2004">#REF!</definedName>
    <definedName name="M_UNK_LO_2008" localSheetId="17">#REF!</definedName>
    <definedName name="M_UNK_LO_2008">#REF!</definedName>
    <definedName name="M_ZapSib_D_2004" localSheetId="17">#REF!</definedName>
    <definedName name="M_ZapSib_D_2004">#REF!</definedName>
    <definedName name="M_ZapSib_D_2008" localSheetId="17">#REF!</definedName>
    <definedName name="M_ZapSib_D_2008">#REF!</definedName>
    <definedName name="M_ZapSib_HO_2004" localSheetId="17">#REF!</definedName>
    <definedName name="M_ZapSib_HO_2004">#REF!</definedName>
    <definedName name="M_ZapSib_HO_2008" localSheetId="17">#REF!</definedName>
    <definedName name="M_ZapSib_HO_2008">#REF!</definedName>
    <definedName name="M_ZapSib_LO_2004" localSheetId="17">#REF!</definedName>
    <definedName name="M_ZapSib_LO_2004">#REF!</definedName>
    <definedName name="M_ZapSib_LO_2008" localSheetId="17">#REF!</definedName>
    <definedName name="M_ZapSib_LO_2008">#REF!</definedName>
    <definedName name="mapping" localSheetId="17">#REF!</definedName>
    <definedName name="mapping">#REF!</definedName>
    <definedName name="Materials">[20]Materials!$B$3:$B$18</definedName>
    <definedName name="n" localSheetId="17" hidden="1">{#N/A,#N/A,FALSE,"Infl_fact"}</definedName>
    <definedName name="n" localSheetId="14" hidden="1">{#N/A,#N/A,FALSE,"Infl_fact"}</definedName>
    <definedName name="n" hidden="1">{#N/A,#N/A,FALSE,"Infl_fact"}</definedName>
    <definedName name="NA_SLAV_TN_Quota" localSheetId="17">[7]MAIN_PARAMETERS!#REF!</definedName>
    <definedName name="NA_SLAV_TN_Quota">[7]MAIN_PARAMETERS!#REF!</definedName>
    <definedName name="NA_TNKBP_TN_QUOTA" localSheetId="17">[7]MAIN_PARAMETERS!#REF!</definedName>
    <definedName name="NA_TNKBP_TN_QUOTA">[7]MAIN_PARAMETERS!#REF!</definedName>
    <definedName name="Name" localSheetId="17" hidden="1">[16]Cover!#REF!</definedName>
    <definedName name="Name" hidden="1">[16]Cover!#REF!</definedName>
    <definedName name="Nodes">[21]Nodes!$B$2:$B$143</definedName>
    <definedName name="Note_1" localSheetId="17">#REF!</definedName>
    <definedName name="Note_1">#REF!</definedName>
    <definedName name="Opening" localSheetId="17">#REF!</definedName>
    <definedName name="Opening">#REF!</definedName>
    <definedName name="opex" localSheetId="17">#REF!</definedName>
    <definedName name="opex">#REF!</definedName>
    <definedName name="OPRATE" localSheetId="17">#REF!</definedName>
    <definedName name="OPRATE">#REF!</definedName>
    <definedName name="OR" localSheetId="17">#REF!</definedName>
    <definedName name="OR">#REF!</definedName>
    <definedName name="Others_Excise" localSheetId="17">[7]MAIN_PARAMETERS!#REF!</definedName>
    <definedName name="Others_Excise">[7]MAIN_PARAMETERS!#REF!</definedName>
    <definedName name="p_4" localSheetId="17">#REF!</definedName>
    <definedName name="p_4">#REF!</definedName>
    <definedName name="p_5" localSheetId="17">#REF!</definedName>
    <definedName name="p_5">#REF!</definedName>
    <definedName name="p_69" localSheetId="17">#REF!</definedName>
    <definedName name="p_69">#REF!</definedName>
    <definedName name="p_70" localSheetId="17">#REF!</definedName>
    <definedName name="p_70">#REF!</definedName>
    <definedName name="Passiv_4" localSheetId="17">#REF!</definedName>
    <definedName name="Passiv_4">#REF!</definedName>
    <definedName name="Passiv_4NEW" localSheetId="17">#REF!</definedName>
    <definedName name="Passiv_4NEW">#REF!</definedName>
    <definedName name="Passiv_5" localSheetId="17">#REF!</definedName>
    <definedName name="Passiv_5">#REF!</definedName>
    <definedName name="Passiv_5NEW" localSheetId="17">#REF!</definedName>
    <definedName name="Passiv_5NEW">#REF!</definedName>
    <definedName name="Passiv_69" localSheetId="17">#REF!</definedName>
    <definedName name="Passiv_69">#REF!</definedName>
    <definedName name="Passiv_69NEW" localSheetId="17">#REF!</definedName>
    <definedName name="Passiv_69NEW">#REF!</definedName>
    <definedName name="Passiv_70" localSheetId="17">#REF!</definedName>
    <definedName name="Passiv_70">#REF!</definedName>
    <definedName name="Passiv_70NEW" localSheetId="17">#REF!</definedName>
    <definedName name="Passiv_70NEW">#REF!</definedName>
    <definedName name="Passiv_SUM" localSheetId="17">#REF!</definedName>
    <definedName name="Passiv_SUM">#REF!</definedName>
    <definedName name="PAWS_Basis">1</definedName>
    <definedName name="PAWS_EndDate">38018</definedName>
    <definedName name="PAWS_GraphMode">TRUE</definedName>
    <definedName name="PAWS_LastDate" localSheetId="17">#REF!</definedName>
    <definedName name="PAWS_LastDate">#REF!</definedName>
    <definedName name="PAWS_LastNDays">10</definedName>
    <definedName name="PAWS_PasteRows">FALSE</definedName>
    <definedName name="PAWS_Periodicity">3</definedName>
    <definedName name="PAWS_PeriodSpec">2</definedName>
    <definedName name="PAWS_StartDate">35796</definedName>
    <definedName name="PAWS_UseDates">TRUE</definedName>
    <definedName name="PAWS_UseLastSelection">FALSE</definedName>
    <definedName name="PAWS_UseUnits">TRUE</definedName>
    <definedName name="PAWS_ZeroMode">FALSE</definedName>
    <definedName name="period">[19]Info!$C$5:$C$16</definedName>
    <definedName name="Periods">[21]Periods!$B$2:$C$13</definedName>
    <definedName name="PL1st" localSheetId="17">#REF!</definedName>
    <definedName name="PL1st">#REF!</definedName>
    <definedName name="PL2nd" localSheetId="17">#REF!</definedName>
    <definedName name="PL2nd">#REF!</definedName>
    <definedName name="PL3rd" localSheetId="17">#REF!</definedName>
    <definedName name="PL3rd">#REF!</definedName>
    <definedName name="PL4th" localSheetId="17">#REF!</definedName>
    <definedName name="PL4th">#REF!</definedName>
    <definedName name="PLAnalIAS" localSheetId="17">#REF!</definedName>
    <definedName name="PLAnalIAS">#REF!</definedName>
    <definedName name="PLAnalRSA" localSheetId="17">#REF!</definedName>
    <definedName name="PLAnalRSA">#REF!</definedName>
    <definedName name="PLCode" localSheetId="17">#REF!</definedName>
    <definedName name="PLCode">#REF!</definedName>
    <definedName name="PPE" localSheetId="17">#REF!</definedName>
    <definedName name="PPE">#REF!</definedName>
    <definedName name="prin">[22]Main!$B$21</definedName>
    <definedName name="Production_Tax" localSheetId="17">[7]MAIN_PARAMETERS!#REF!</definedName>
    <definedName name="Production_Tax">[7]MAIN_PARAMETERS!#REF!</definedName>
    <definedName name="qwe" localSheetId="17" hidden="1">{"IASTrail",#N/A,FALSE,"IAS"}</definedName>
    <definedName name="qwe" localSheetId="14" hidden="1">{"IASTrail",#N/A,FALSE,"IAS"}</definedName>
    <definedName name="qwe" hidden="1">{"IASTrail",#N/A,FALSE,"IAS"}</definedName>
    <definedName name="Rail_Improvement" localSheetId="17">[7]MAIN_PARAMETERS!#REF!</definedName>
    <definedName name="Rail_Improvement">[7]MAIN_PARAMETERS!#REF!</definedName>
    <definedName name="Rail_Tariff_Inflation" localSheetId="17">[7]MAIN_PARAMETERS!#REF!</definedName>
    <definedName name="Rail_Tariff_Inflation">[7]MAIN_PARAMETERS!#REF!</definedName>
    <definedName name="RawData" localSheetId="17">#REF!</definedName>
    <definedName name="RawData">#REF!</definedName>
    <definedName name="REF" localSheetId="17">#REF!</definedName>
    <definedName name="REF">#REF!</definedName>
    <definedName name="Reload_costs_escal" localSheetId="17">[7]MAIN_PARAMETERS!#REF!</definedName>
    <definedName name="Reload_costs_escal">[7]MAIN_PARAMETERS!#REF!</definedName>
    <definedName name="Reloading_Inflation" localSheetId="17">[7]MAIN_PARAMETERS!#REF!</definedName>
    <definedName name="Reloading_Inflation">[7]MAIN_PARAMETERS!#REF!</definedName>
    <definedName name="revenue" localSheetId="17">#REF!</definedName>
    <definedName name="revenue">#REF!</definedName>
    <definedName name="RSA_1st" localSheetId="17">#REF!</definedName>
    <definedName name="RSA_1st">#REF!</definedName>
    <definedName name="RSA_all" localSheetId="17">#REF!</definedName>
    <definedName name="RSA_all">#REF!</definedName>
    <definedName name="RSA_BS1" localSheetId="17">#REF!</definedName>
    <definedName name="RSA_BS1">#REF!</definedName>
    <definedName name="RSA_FS">[23]RSA_FS!$A$1:$B$385</definedName>
    <definedName name="RSA_PL1" localSheetId="17">#REF!</definedName>
    <definedName name="RSA_PL1">#REF!</definedName>
    <definedName name="RSAPL" localSheetId="17">#REF!</definedName>
    <definedName name="RSAPL">#REF!</definedName>
    <definedName name="SAPBEXhrIndnt" hidden="1">1</definedName>
    <definedName name="SAPBEXrevision" hidden="1">1</definedName>
    <definedName name="SAPBEXsysID" hidden="1">"BW2"</definedName>
    <definedName name="SAPBEXwbID" hidden="1">"3O3ZPWEQ3C5DUIAJ3OV7CK2VI"</definedName>
    <definedName name="Scenario" localSheetId="17">#REF!</definedName>
    <definedName name="Scenario">#REF!</definedName>
    <definedName name="SGA" localSheetId="17">#REF!</definedName>
    <definedName name="SGA">#REF!</definedName>
    <definedName name="SLAV_Production" localSheetId="17">[7]MAIN_PARAMETERS!#REF!</definedName>
    <definedName name="SLAV_Production">[7]MAIN_PARAMETERS!#REF!</definedName>
    <definedName name="Sname1" localSheetId="17">[5]Main!#REF!</definedName>
    <definedName name="Sname1">[5]Main!#REF!</definedName>
    <definedName name="start" localSheetId="17">#REF!</definedName>
    <definedName name="start">#REF!</definedName>
    <definedName name="start29" localSheetId="17">#REF!</definedName>
    <definedName name="start29">#REF!</definedName>
    <definedName name="startUSD" localSheetId="17">#REF!</definedName>
    <definedName name="startUSD">#REF!</definedName>
    <definedName name="STD" localSheetId="17">#REF!</definedName>
    <definedName name="STD">#REF!</definedName>
    <definedName name="Submission" localSheetId="17">#REF!</definedName>
    <definedName name="Submission">#REF!</definedName>
    <definedName name="taxpl" localSheetId="17">#REF!</definedName>
    <definedName name="taxpl">#REF!</definedName>
    <definedName name="TEST0" localSheetId="17">#REF!</definedName>
    <definedName name="TEST0">#REF!</definedName>
    <definedName name="TEST1" localSheetId="17">#REF!</definedName>
    <definedName name="TEST1">#REF!</definedName>
    <definedName name="TEST2" localSheetId="17">#REF!</definedName>
    <definedName name="TEST2">#REF!</definedName>
    <definedName name="TESTHKEY" localSheetId="17">#REF!</definedName>
    <definedName name="TESTHKEY">#REF!</definedName>
    <definedName name="TESTKEYS" localSheetId="17">#REF!</definedName>
    <definedName name="TESTKEYS">#REF!</definedName>
    <definedName name="TESTVKEY" localSheetId="17">#REF!</definedName>
    <definedName name="TESTVKEY">#REF!</definedName>
    <definedName name="TN_Pipe_Inflation" localSheetId="17">[7]MAIN_PARAMETERS!#REF!</definedName>
    <definedName name="TN_Pipe_Inflation">[7]MAIN_PARAMETERS!#REF!</definedName>
    <definedName name="TNKBP_Crude_Loss" localSheetId="17">[7]MAIN_PARAMETERS!#REF!</definedName>
    <definedName name="TNKBP_Crude_Loss">[7]MAIN_PARAMETERS!#REF!</definedName>
    <definedName name="TNKBP_EXPORT_FA_DIR" localSheetId="17">[7]MAIN_PARAMETERS!#REF!</definedName>
    <definedName name="TNKBP_EXPORT_FA_DIR">[7]MAIN_PARAMETERS!#REF!</definedName>
    <definedName name="TNKBP_Production" localSheetId="17">[7]MAIN_PARAMETERS!#REF!</definedName>
    <definedName name="TNKBP_Production">[7]MAIN_PARAMETERS!#REF!</definedName>
    <definedName name="TOC_Hdg_1" localSheetId="17" hidden="1">#REF!</definedName>
    <definedName name="TOC_Hdg_1" hidden="1">#REF!</definedName>
    <definedName name="TOC_Hdg_2" localSheetId="17" hidden="1">#REF!</definedName>
    <definedName name="TOC_Hdg_2" hidden="1">#REF!</definedName>
    <definedName name="TOC_Hdg_3" localSheetId="17" hidden="1">#REF!</definedName>
    <definedName name="TOC_Hdg_3" hidden="1">#REF!</definedName>
    <definedName name="TOC_Hdg_4" localSheetId="17" hidden="1">#REF!</definedName>
    <definedName name="TOC_Hdg_4" hidden="1">#REF!</definedName>
    <definedName name="TOC_Hdg_5" localSheetId="17" hidden="1">#REF!</definedName>
    <definedName name="TOC_Hdg_5" hidden="1">#REF!</definedName>
    <definedName name="Urals_discount" localSheetId="17">[7]MAIN_PARAMETERS!#REF!</definedName>
    <definedName name="Urals_discount">[7]MAIN_PARAMETERS!#REF!</definedName>
    <definedName name="Urals_Excise" localSheetId="17">[7]MAIN_PARAMETERS!#REF!</definedName>
    <definedName name="Urals_Excise">[7]MAIN_PARAMETERS!#REF!</definedName>
    <definedName name="USD" localSheetId="17">#REF!</definedName>
    <definedName name="USD">#REF!</definedName>
    <definedName name="Use_Index">[9]Cover!$F$48</definedName>
    <definedName name="VAR_Ent" localSheetId="17">#REF!</definedName>
    <definedName name="VAR_Ent">#REF!</definedName>
    <definedName name="vitaly" localSheetId="17" hidden="1">[1]RSOILBAL!#REF!</definedName>
    <definedName name="vitaly" hidden="1">[1]RSOILBAL!#REF!</definedName>
    <definedName name="w" localSheetId="17" hidden="1">{"IASTrail",#N/A,FALSE,"IAS"}</definedName>
    <definedName name="w" localSheetId="14" hidden="1">{"IASTrail",#N/A,FALSE,"IAS"}</definedName>
    <definedName name="w" hidden="1">{"IASTrail",#N/A,FALSE,"IAS"}</definedName>
    <definedName name="wer" localSheetId="17" hidden="1">{"IASTrail",#N/A,FALSE,"IAS"}</definedName>
    <definedName name="wer" localSheetId="14" hidden="1">{"IASTrail",#N/A,FALSE,"IAS"}</definedName>
    <definedName name="wer" hidden="1">{"IASTrail",#N/A,FALSE,"IAS"}</definedName>
    <definedName name="wrn.Coded._.IAS._.FS." localSheetId="17" hidden="1">{"IASTrail",#N/A,FALSE,"IAS"}</definedName>
    <definedName name="wrn.Coded._.IAS._.FS." localSheetId="14" hidden="1">{"IASTrail",#N/A,FALSE,"IAS"}</definedName>
    <definedName name="wrn.Coded._.IAS._.FS." hidden="1">{"IASTrail",#N/A,FALSE,"IAS"}</definedName>
    <definedName name="wrn.ex." localSheetId="17" hidden="1">{#N/A,#N/A,FALSE,"NBU rates 1999"}</definedName>
    <definedName name="wrn.ex." localSheetId="14" hidden="1">{#N/A,#N/A,FALSE,"NBU rates 1999"}</definedName>
    <definedName name="wrn.ex." hidden="1">{#N/A,#N/A,FALSE,"NBU rates 1999"}</definedName>
    <definedName name="wrn.Fixed._.Assets._.Note._.and._.Depreciation." localSheetId="17" hidden="1">{#N/A,#N/A,FALSE,"FA_1";#N/A,#N/A,FALSE,"Dep'n SE";#N/A,#N/A,FALSE,"Dep'n FC"}</definedName>
    <definedName name="wrn.Fixed._.Assets._.Note._.and._.Depreciation." localSheetId="14" hidden="1">{#N/A,#N/A,FALSE,"FA_1";#N/A,#N/A,FALSE,"Dep'n SE";#N/A,#N/A,FALSE,"Dep'n FC"}</definedName>
    <definedName name="wrn.Fixed._.Assets._.Note._.and._.Depreciation." hidden="1">{#N/A,#N/A,FALSE,"FA_1";#N/A,#N/A,FALSE,"Dep'n SE";#N/A,#N/A,FALSE,"Dep'n FC"}</definedName>
    <definedName name="wrn.Full._.IAS._.STATEMENTS." localSheetId="17" hidden="1">{"IASBS",#N/A,FALSE,"IAS";"IASPL",#N/A,FALSE,"IAS";#N/A,#N/A,FALSE,"CF DIR";"IASNotes",#N/A,FALSE,"IAS";#N/A,#N/A,FALSE,"FA_1";#N/A,#N/A,FALSE,"Dep'n FC";#N/A,#N/A,FALSE,"Dep'n SE";#N/A,#N/A,FALSE,"Inv_1";#N/A,#N/A,FALSE,"NMG";#N/A,#N/A,FALSE,"Recon";#N/A,#N/A,FALSE,"EPS"}</definedName>
    <definedName name="wrn.Full._.IAS._.STATEMENTS." localSheetId="14"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17" hidden="1">{"IAS Mapping",#N/A,FALSE,"RSA_FS";#N/A,#N/A,FALSE,"CHECK!";#N/A,#N/A,FALSE,"Recon";#N/A,#N/A,FALSE,"NMG";#N/A,#N/A,FALSE,"Journals";"AnalRSA",#N/A,FALSE,"PL-Anal";"AnalIAS",#N/A,FALSE,"PL-Anal";#N/A,#N/A,FALSE,"COS"}</definedName>
    <definedName name="wrn.Full._.TRAIL." localSheetId="14"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17" hidden="1">{#N/A,#N/A,TRUE,"MAP";#N/A,#N/A,TRUE,"STEPS";#N/A,#N/A,TRUE,"RULES"}</definedName>
    <definedName name="wrn.Help." localSheetId="14" hidden="1">{#N/A,#N/A,TRUE,"MAP";#N/A,#N/A,TRUE,"STEPS";#N/A,#N/A,TRUE,"RULES"}</definedName>
    <definedName name="wrn.Help." hidden="1">{#N/A,#N/A,TRUE,"MAP";#N/A,#N/A,TRUE,"STEPS";#N/A,#N/A,TRUE,"RULES"}</definedName>
    <definedName name="wrn.IAS._.BS._.PL._.CF._.and._.Notes." localSheetId="17" hidden="1">{"IASBS",#N/A,TRUE,"IAS";"IASPL",#N/A,TRUE,"IAS";"IASNotes",#N/A,TRUE,"IAS";"CFDir - expanded",#N/A,TRUE,"CF DIR"}</definedName>
    <definedName name="wrn.IAS._.BS._.PL._.CF._.and._.Notes." localSheetId="14" hidden="1">{"IASBS",#N/A,TRUE,"IAS";"IASPL",#N/A,TRUE,"IAS";"IASNotes",#N/A,TRUE,"IAS";"CFDir - expanded",#N/A,TRUE,"CF DIR"}</definedName>
    <definedName name="wrn.IAS._.BS._.PL._.CF._.and._.Notes." hidden="1">{"IASBS",#N/A,TRUE,"IAS";"IASPL",#N/A,TRUE,"IAS";"IASNotes",#N/A,TRUE,"IAS";"CFDir - expanded",#N/A,TRUE,"CF DIR"}</definedName>
    <definedName name="wrn.IAS._.FS._.ZOOMED._.IN._.Forms." localSheetId="17" hidden="1">{"IAS_ShortView_1",#N/A,FALSE,"IAS";"IAS_ShortView_2",#N/A,FALSE,"IAS";"IAS_ShortView_3",#N/A,FALSE,"IAS";"IAS_ShortView_4",#N/A,FALSE,"IAS";"IAS_ShortView_5",#N/A,FALSE,"IAS";"IAS_ShortView_6",#N/A,FALSE,"IAS";"IAS_ShortView_7",#N/A,FALSE,"IAS";"CFDir - Zoomed In",#N/A,FALSE,"CF DIR"}</definedName>
    <definedName name="wrn.IAS._.FS._.ZOOMED._.IN._.Forms." localSheetId="14"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17" hidden="1">{"IAS Mapping",#N/A,TRUE,"RSA_FS"}</definedName>
    <definedName name="wrn.IAS._.Mapping." localSheetId="14" hidden="1">{"IAS Mapping",#N/A,TRUE,"RSA_FS"}</definedName>
    <definedName name="wrn.IAS._.Mapping." hidden="1">{"IAS Mapping",#N/A,TRUE,"RSA_FS"}</definedName>
    <definedName name="wrn.Inflation._.factors._.used." localSheetId="17" hidden="1">{#N/A,#N/A,FALSE,"Infl_fact"}</definedName>
    <definedName name="wrn.Inflation._.factors._.used." localSheetId="14" hidden="1">{#N/A,#N/A,FALSE,"Infl_fact"}</definedName>
    <definedName name="wrn.Inflation._.factors._.used." hidden="1">{#N/A,#N/A,FALSE,"Infl_fact"}</definedName>
    <definedName name="wrn.PL._.Analysis." localSheetId="17" hidden="1">{"AnalRSA",#N/A,TRUE,"PL-Anal";"AnalIAS",#N/A,TRUE,"PL-Anal"}</definedName>
    <definedName name="wrn.PL._.Analysis." localSheetId="14" hidden="1">{"AnalRSA",#N/A,TRUE,"PL-Anal";"AnalIAS",#N/A,TRUE,"PL-Anal"}</definedName>
    <definedName name="wrn.PL._.Analysis." hidden="1">{"AnalRSA",#N/A,TRUE,"PL-Anal";"AnalIAS",#N/A,TRUE,"PL-Anal"}</definedName>
    <definedName name="wrn.RSA._.BS._.and._.PL." localSheetId="17" hidden="1">{"BS1",#N/A,TRUE,"RSA_FS";"BS2",#N/A,TRUE,"RSA_FS";"BS3",#N/A,TRUE,"RSA_FS"}</definedName>
    <definedName name="wrn.RSA._.BS._.and._.PL." localSheetId="14" hidden="1">{"BS1",#N/A,TRUE,"RSA_FS";"BS2",#N/A,TRUE,"RSA_FS";"BS3",#N/A,TRUE,"RSA_FS"}</definedName>
    <definedName name="wrn.RSA._.BS._.and._.PL." hidden="1">{"BS1",#N/A,TRUE,"RSA_FS";"BS2",#N/A,TRUE,"RSA_FS";"BS3",#N/A,TRUE,"RSA_FS"}</definedName>
    <definedName name="yjdjt" hidden="1">'[24]Факт Dink-Inv 2004'!$A$8:$C$98</definedName>
    <definedName name="Z_07E4EF40_D601_4272_B8B6_9815989B39C3_.wvu.FilterData" localSheetId="2" hidden="1">'SELECTED FINANCIAL RATIOS'!$A$1:$W$8</definedName>
    <definedName name="Z_0879B2E0_1447_4BF4_B278_DFA3BD4BF3E7_.wvu.Cols" localSheetId="8" hidden="1">'BALANCE '!$V:$AI</definedName>
    <definedName name="Z_0879B2E0_1447_4BF4_B278_DFA3BD4BF3E7_.wvu.Cols" localSheetId="11" hidden="1">'CAPEX BREAKDOWN'!$P:$AB</definedName>
    <definedName name="Z_0879B2E0_1447_4BF4_B278_DFA3BD4BF3E7_.wvu.Cols" localSheetId="9" hidden="1">'CASH FLOW STATEMENT'!$V:$AI</definedName>
    <definedName name="Z_0879B2E0_1447_4BF4_B278_DFA3BD4BF3E7_.wvu.Cols" localSheetId="6" hidden="1">'COST BREAKDOWN'!$V:$AI</definedName>
    <definedName name="Z_0879B2E0_1447_4BF4_B278_DFA3BD4BF3E7_.wvu.Cols" localSheetId="7" hidden="1">'COST BREAKDOWN BY REGION'!$V:$AI</definedName>
    <definedName name="Z_0879B2E0_1447_4BF4_B278_DFA3BD4BF3E7_.wvu.Cols" localSheetId="12" hidden="1">'DEBT AND LIQUIDITY '!$V:$AI</definedName>
    <definedName name="Z_0879B2E0_1447_4BF4_B278_DFA3BD4BF3E7_.wvu.Cols" localSheetId="1" hidden="1">'FINANCIAL HIGHLIGHTS'!$V:$AI</definedName>
    <definedName name="Z_0879B2E0_1447_4BF4_B278_DFA3BD4BF3E7_.wvu.Cols" localSheetId="3" hidden="1">'INCOME STATEMENT'!$V:$AI</definedName>
    <definedName name="Z_0879B2E0_1447_4BF4_B278_DFA3BD4BF3E7_.wvu.Cols" localSheetId="10" hidden="1">'WORKING CAPITAL'!$V:$AI</definedName>
    <definedName name="Z_0879B2E0_1447_4BF4_B278_DFA3BD4BF3E7_.wvu.FilterData" localSheetId="1" hidden="1">'FINANCIAL HIGHLIGHTS'!$A$8:$AI$18</definedName>
    <definedName name="Z_0879B2E0_1447_4BF4_B278_DFA3BD4BF3E7_.wvu.FilterData" localSheetId="3" hidden="1">'INCOME STATEMENT'!$A$2:$AE$46</definedName>
    <definedName name="Z_0879B2E0_1447_4BF4_B278_DFA3BD4BF3E7_.wvu.FilterData" localSheetId="4" hidden="1">'REVENUE BREAKDOWN'!$A$2:$T$48</definedName>
    <definedName name="Z_0879B2E0_1447_4BF4_B278_DFA3BD4BF3E7_.wvu.FilterData" localSheetId="2" hidden="1">'SELECTED FINANCIAL RATIOS'!$A$10:$T$16</definedName>
    <definedName name="Z_0879B2E0_1447_4BF4_B278_DFA3BD4BF3E7_.wvu.PrintArea" localSheetId="8" hidden="1">'BALANCE '!$A$1:$AI$62</definedName>
    <definedName name="Z_0879B2E0_1447_4BF4_B278_DFA3BD4BF3E7_.wvu.PrintArea" localSheetId="11" hidden="1">'CAPEX BREAKDOWN'!$A$1:$W$19</definedName>
    <definedName name="Z_0879B2E0_1447_4BF4_B278_DFA3BD4BF3E7_.wvu.PrintArea" localSheetId="9" hidden="1">'CASH FLOW STATEMENT'!$A$1:$AI$86</definedName>
    <definedName name="Z_0879B2E0_1447_4BF4_B278_DFA3BD4BF3E7_.wvu.PrintArea" localSheetId="6" hidden="1">'COST BREAKDOWN'!$A$1:$AI$51</definedName>
    <definedName name="Z_0879B2E0_1447_4BF4_B278_DFA3BD4BF3E7_.wvu.PrintArea" localSheetId="7" hidden="1">'COST BREAKDOWN BY REGION'!$A$1:$AI$56</definedName>
    <definedName name="Z_0879B2E0_1447_4BF4_B278_DFA3BD4BF3E7_.wvu.PrintArea" localSheetId="12" hidden="1">'DEBT AND LIQUIDITY '!$A$1:$AI$37</definedName>
    <definedName name="Z_0879B2E0_1447_4BF4_B278_DFA3BD4BF3E7_.wvu.PrintArea" localSheetId="5" hidden="1">'EBITDA CALCULATION'!$A$1:$T$24</definedName>
    <definedName name="Z_0879B2E0_1447_4BF4_B278_DFA3BD4BF3E7_.wvu.PrintArea" localSheetId="1" hidden="1">'FINANCIAL HIGHLIGHTS'!$A$1:$AI$34</definedName>
    <definedName name="Z_0879B2E0_1447_4BF4_B278_DFA3BD4BF3E7_.wvu.PrintArea" localSheetId="3" hidden="1">'INCOME STATEMENT'!$A$1:$AI$51</definedName>
    <definedName name="Z_0879B2E0_1447_4BF4_B278_DFA3BD4BF3E7_.wvu.PrintArea" localSheetId="13" hidden="1">'METAL SALES&amp;PRICES'!$A$1:$T$66</definedName>
    <definedName name="Z_0879B2E0_1447_4BF4_B278_DFA3BD4BF3E7_.wvu.PrintArea" localSheetId="14" hidden="1">'PRODUCTION DATA'!$A$1:$R$77</definedName>
    <definedName name="Z_0879B2E0_1447_4BF4_B278_DFA3BD4BF3E7_.wvu.PrintArea" localSheetId="4" hidden="1">'REVENUE BREAKDOWN'!$A$1:$T$52</definedName>
    <definedName name="Z_0879B2E0_1447_4BF4_B278_DFA3BD4BF3E7_.wvu.PrintArea" localSheetId="2" hidden="1">'SELECTED FINANCIAL RATIOS'!$A$1:$T$31</definedName>
    <definedName name="Z_0879B2E0_1447_4BF4_B278_DFA3BD4BF3E7_.wvu.PrintArea" localSheetId="10" hidden="1">'WORKING CAPITAL'!$A$1:$AI$23</definedName>
    <definedName name="Z_93BA635E_1664_4099_8295_6B100E16362A_.wvu.Cols" localSheetId="6" hidden="1">'COST BREAKDOWN'!$V:$AE</definedName>
    <definedName name="Z_93BA635E_1664_4099_8295_6B100E16362A_.wvu.Cols" localSheetId="7" hidden="1">'COST BREAKDOWN BY REGION'!$V:$AE</definedName>
    <definedName name="Z_93BA635E_1664_4099_8295_6B100E16362A_.wvu.Cols" localSheetId="12" hidden="1">'DEBT AND LIQUIDITY '!$V:$AE</definedName>
    <definedName name="Z_93BA635E_1664_4099_8295_6B100E16362A_.wvu.Cols" localSheetId="1" hidden="1">'FINANCIAL HIGHLIGHTS'!$V:$AE</definedName>
    <definedName name="Z_93BA635E_1664_4099_8295_6B100E16362A_.wvu.Cols" localSheetId="3" hidden="1">'INCOME STATEMENT'!$V:$AE</definedName>
    <definedName name="Z_93BA635E_1664_4099_8295_6B100E16362A_.wvu.Cols" localSheetId="10" hidden="1">'WORKING CAPITAL'!$V:$AE</definedName>
    <definedName name="Z_93BA635E_1664_4099_8295_6B100E16362A_.wvu.FilterData" localSheetId="3" hidden="1">'INCOME STATEMENT'!$A$2:$AE$46</definedName>
    <definedName name="Z_93BA635E_1664_4099_8295_6B100E16362A_.wvu.FilterData" localSheetId="2" hidden="1">'SELECTED FINANCIAL RATIOS'!$A$1:$W$8</definedName>
    <definedName name="Z_93BA635E_1664_4099_8295_6B100E16362A_.wvu.PrintArea" localSheetId="8" hidden="1">'BALANCE '!$A$1:$AE$62</definedName>
    <definedName name="Z_93BA635E_1664_4099_8295_6B100E16362A_.wvu.PrintArea" localSheetId="11" hidden="1">'CAPEX BREAKDOWN'!$A$1:$S$19</definedName>
    <definedName name="Z_93BA635E_1664_4099_8295_6B100E16362A_.wvu.PrintArea" localSheetId="6" hidden="1">'COST BREAKDOWN'!$A$1:$AE$51</definedName>
    <definedName name="Z_93BA635E_1664_4099_8295_6B100E16362A_.wvu.PrintArea" localSheetId="7" hidden="1">'COST BREAKDOWN BY REGION'!$A$1:$AE$56</definedName>
    <definedName name="Z_93BA635E_1664_4099_8295_6B100E16362A_.wvu.PrintArea" localSheetId="12" hidden="1">'DEBT AND LIQUIDITY '!$A$1:$AE$37</definedName>
    <definedName name="Z_93BA635E_1664_4099_8295_6B100E16362A_.wvu.PrintArea" localSheetId="5" hidden="1">'EBITDA CALCULATION'!$A$1:$T$24</definedName>
    <definedName name="Z_93BA635E_1664_4099_8295_6B100E16362A_.wvu.PrintArea" localSheetId="1" hidden="1">'FINANCIAL HIGHLIGHTS'!$A$1:$AE$34</definedName>
    <definedName name="Z_93BA635E_1664_4099_8295_6B100E16362A_.wvu.PrintArea" localSheetId="3" hidden="1">'INCOME STATEMENT'!$A$1:$Z$51</definedName>
    <definedName name="Z_93BA635E_1664_4099_8295_6B100E16362A_.wvu.PrintArea" localSheetId="13" hidden="1">'METAL SALES&amp;PRICES'!$A$1:$T$65</definedName>
    <definedName name="Z_93BA635E_1664_4099_8295_6B100E16362A_.wvu.PrintArea" localSheetId="14" hidden="1">'PRODUCTION DATA'!$A$1:$R$77</definedName>
    <definedName name="Z_93BA635E_1664_4099_8295_6B100E16362A_.wvu.PrintArea" localSheetId="4" hidden="1">'REVENUE BREAKDOWN'!$A$1:$T$51</definedName>
    <definedName name="Z_93BA635E_1664_4099_8295_6B100E16362A_.wvu.PrintArea" localSheetId="2" hidden="1">'SELECTED FINANCIAL RATIOS'!$A$1:$T$31</definedName>
    <definedName name="Z_93BA635E_1664_4099_8295_6B100E16362A_.wvu.PrintArea" localSheetId="10" hidden="1">'WORKING CAPITAL'!$A$1:$AE$23</definedName>
    <definedName name="Z_93BA635E_1664_4099_8295_6B100E16362A_.wvu.Rows" localSheetId="11" hidden="1">'CAPEX BREAKDOWN'!#REF!</definedName>
    <definedName name="Z_93BA635E_1664_4099_8295_6B100E16362A_.wvu.Rows" localSheetId="1" hidden="1">'FINANCIAL HIGHLIGHTS'!#REF!,'FINANCIAL HIGHLIGHTS'!#REF!</definedName>
    <definedName name="Z_93BA635E_1664_4099_8295_6B100E16362A_.wvu.Rows" localSheetId="3" hidden="1">'INCOME STATEMENT'!$23:$29</definedName>
    <definedName name="Z_AD18A06F_7A9A_4FA9_B2FB_60217F0B919A_.wvu.FilterData" localSheetId="2" hidden="1">'SELECTED FINANCIAL RATIOS'!$A$1:$W$8</definedName>
    <definedName name="Z_B16C33AE_68A7_47CD_8816_D8721C6BB4D1_.wvu.FilterData" localSheetId="2" hidden="1">'SELECTED FINANCIAL RATIOS'!$A$1:$W$8</definedName>
    <definedName name="Z_B24A12A4_9623_4099_956E_0B4C7C8D3F73_.wvu.Cols" localSheetId="6" hidden="1">'COST BREAKDOWN'!$V:$AE</definedName>
    <definedName name="Z_B24A12A4_9623_4099_956E_0B4C7C8D3F73_.wvu.Cols" localSheetId="7" hidden="1">'COST BREAKDOWN BY REGION'!$V:$AE</definedName>
    <definedName name="Z_B24A12A4_9623_4099_956E_0B4C7C8D3F73_.wvu.Cols" localSheetId="12" hidden="1">'DEBT AND LIQUIDITY '!$V:$AE</definedName>
    <definedName name="Z_B24A12A4_9623_4099_956E_0B4C7C8D3F73_.wvu.Cols" localSheetId="1" hidden="1">'FINANCIAL HIGHLIGHTS'!$V:$AE</definedName>
    <definedName name="Z_B24A12A4_9623_4099_956E_0B4C7C8D3F73_.wvu.Cols" localSheetId="3" hidden="1">'INCOME STATEMENT'!$V:$AE</definedName>
    <definedName name="Z_B24A12A4_9623_4099_956E_0B4C7C8D3F73_.wvu.Cols" localSheetId="10" hidden="1">'WORKING CAPITAL'!$V:$AE</definedName>
    <definedName name="Z_B24A12A4_9623_4099_956E_0B4C7C8D3F73_.wvu.FilterData" localSheetId="3" hidden="1">'INCOME STATEMENT'!$A$2:$AE$46</definedName>
    <definedName name="Z_B24A12A4_9623_4099_956E_0B4C7C8D3F73_.wvu.FilterData" localSheetId="2" hidden="1">'SELECTED FINANCIAL RATIOS'!$A$1:$W$8</definedName>
    <definedName name="Z_B24A12A4_9623_4099_956E_0B4C7C8D3F73_.wvu.PrintArea" localSheetId="8" hidden="1">'BALANCE '!$A$1:$AE$62</definedName>
    <definedName name="Z_B24A12A4_9623_4099_956E_0B4C7C8D3F73_.wvu.PrintArea" localSheetId="11" hidden="1">'CAPEX BREAKDOWN'!$A$1:$S$19</definedName>
    <definedName name="Z_B24A12A4_9623_4099_956E_0B4C7C8D3F73_.wvu.PrintArea" localSheetId="6" hidden="1">'COST BREAKDOWN'!$A$1:$AE$51</definedName>
    <definedName name="Z_B24A12A4_9623_4099_956E_0B4C7C8D3F73_.wvu.PrintArea" localSheetId="7" hidden="1">'COST BREAKDOWN BY REGION'!$A$1:$AE$56</definedName>
    <definedName name="Z_B24A12A4_9623_4099_956E_0B4C7C8D3F73_.wvu.PrintArea" localSheetId="12" hidden="1">'DEBT AND LIQUIDITY '!$A$1:$AE$37</definedName>
    <definedName name="Z_B24A12A4_9623_4099_956E_0B4C7C8D3F73_.wvu.PrintArea" localSheetId="5" hidden="1">'EBITDA CALCULATION'!$A$1:$T$24</definedName>
    <definedName name="Z_B24A12A4_9623_4099_956E_0B4C7C8D3F73_.wvu.PrintArea" localSheetId="1" hidden="1">'FINANCIAL HIGHLIGHTS'!$A$1:$AE$34</definedName>
    <definedName name="Z_B24A12A4_9623_4099_956E_0B4C7C8D3F73_.wvu.PrintArea" localSheetId="3" hidden="1">'INCOME STATEMENT'!$A$1:$Z$51</definedName>
    <definedName name="Z_B24A12A4_9623_4099_956E_0B4C7C8D3F73_.wvu.PrintArea" localSheetId="13" hidden="1">'METAL SALES&amp;PRICES'!$A$1:$T$65</definedName>
    <definedName name="Z_B24A12A4_9623_4099_956E_0B4C7C8D3F73_.wvu.PrintArea" localSheetId="14" hidden="1">'PRODUCTION DATA'!$A$1:$R$77</definedName>
    <definedName name="Z_B24A12A4_9623_4099_956E_0B4C7C8D3F73_.wvu.PrintArea" localSheetId="4" hidden="1">'REVENUE BREAKDOWN'!$A$1:$T$51</definedName>
    <definedName name="Z_B24A12A4_9623_4099_956E_0B4C7C8D3F73_.wvu.PrintArea" localSheetId="2" hidden="1">'SELECTED FINANCIAL RATIOS'!$A$1:$T$31</definedName>
    <definedName name="Z_B24A12A4_9623_4099_956E_0B4C7C8D3F73_.wvu.PrintArea" localSheetId="10" hidden="1">'WORKING CAPITAL'!$A$1:$AE$23</definedName>
    <definedName name="Z_B24A12A4_9623_4099_956E_0B4C7C8D3F73_.wvu.Rows" localSheetId="11" hidden="1">'CAPEX BREAKDOWN'!#REF!</definedName>
    <definedName name="Z_B24A12A4_9623_4099_956E_0B4C7C8D3F73_.wvu.Rows" localSheetId="1" hidden="1">'FINANCIAL HIGHLIGHTS'!#REF!</definedName>
    <definedName name="Zaikinskaya_Excise" localSheetId="17">[7]MAIN_PARAMETERS!#REF!</definedName>
    <definedName name="Zaikinskaya_Excise">[7]MAIN_PARAMETERS!#REF!</definedName>
    <definedName name="а_27" localSheetId="17">#REF!</definedName>
    <definedName name="а_27">#REF!</definedName>
    <definedName name="Блок" localSheetId="17">#REF!</definedName>
    <definedName name="Блок">#REF!</definedName>
    <definedName name="имс" localSheetId="17">#REF!</definedName>
    <definedName name="имс">#REF!</definedName>
    <definedName name="Кипр" hidden="1">'[24]Факт Dink-Inv 2004'!$A$8:$C$98</definedName>
    <definedName name="Курс" localSheetId="17">#REF!</definedName>
    <definedName name="Курс">#REF!</definedName>
    <definedName name="н">[25]экспорт!$A$1</definedName>
    <definedName name="норма_износа" localSheetId="17">Исходные [26]данные!$C$16</definedName>
    <definedName name="норма_износа" localSheetId="14">Исходные [26]данные!$C$16</definedName>
    <definedName name="норма_износа">Исходные [26]данные!$C$16</definedName>
    <definedName name="_xlnm.Print_Area" localSheetId="8">'BALANCE '!$A$1:$AM$62</definedName>
    <definedName name="_xlnm.Print_Area" localSheetId="11">'CAPEX BREAKDOWN'!$A$1:$AA$19</definedName>
    <definedName name="_xlnm.Print_Area" localSheetId="9">'CASH FLOW STATEMENT'!$A$1:$AM$86</definedName>
    <definedName name="_xlnm.Print_Area" localSheetId="6">'COST BREAKDOWN'!$A$1:$AM$51</definedName>
    <definedName name="_xlnm.Print_Area" localSheetId="7">'COST BREAKDOWN BY REGION'!$A$1:$AM$68</definedName>
    <definedName name="_xlnm.Print_Area" localSheetId="12">'DEBT AND LIQUIDITY '!$A$1:$AM$38</definedName>
    <definedName name="_xlnm.Print_Area" localSheetId="5">'EBITDA CALCULATION'!$A$1:$U$24</definedName>
    <definedName name="_xlnm.Print_Area" localSheetId="1">'FINANCIAL HIGHLIGHTS'!$A$1:$AM$34</definedName>
    <definedName name="_xlnm.Print_Area" localSheetId="3">'INCOME STATEMENT'!$A$1:$AK$51</definedName>
    <definedName name="_xlnm.Print_Area" localSheetId="13">'METAL SALES&amp;PRICES'!$A$1:$U$66</definedName>
    <definedName name="_xlnm.Print_Area" localSheetId="17">'MINERALS RESERVES AND RESOURCES'!$A$1:$N$66</definedName>
    <definedName name="_xlnm.Print_Area" localSheetId="15">'ORE OUTRUT'!$A$1:$M$72</definedName>
    <definedName name="_xlnm.Print_Area" localSheetId="14">'PRODUCTION DATA'!$A$1:$U$77</definedName>
    <definedName name="_xlnm.Print_Area" localSheetId="16">'RECOVERY RATES'!$A$1:$M$29</definedName>
    <definedName name="_xlnm.Print_Area" localSheetId="4">'REVENUE BREAKDOWN'!$A$1:$U$53</definedName>
    <definedName name="_xlnm.Print_Area" localSheetId="2">'SELECTED FINANCIAL RATIOS'!$A$1:$U$31</definedName>
    <definedName name="_xlnm.Print_Area" localSheetId="10">'WORKING CAPITAL'!$A$1:$AM$23</definedName>
    <definedName name="с10" localSheetId="17">#REF!</definedName>
    <definedName name="с10">#REF!</definedName>
    <definedName name="смета" localSheetId="17" hidden="1">#REF!</definedName>
    <definedName name="смета" hidden="1">#REF!</definedName>
    <definedName name="СНП" localSheetId="17" hidden="1">#REF!</definedName>
    <definedName name="СНП" hidden="1">#REF!</definedName>
  </definedNames>
  <calcPr calcId="152511"/>
  <customWorkbookViews>
    <customWorkbookView name="Дервоедов Иван Алексеевич - Личное представление" guid="{0879B2E0-1447-4BF4-B278-DFA3BD4BF3E7}" mergeInterval="0" personalView="1" maximized="1" windowWidth="1840" windowHeight="774" tabRatio="671" activeSheetId="1"/>
    <customWorkbookView name="Лучкина Лариса Владимировна - Личное представление" guid="{B24A12A4-9623-4099-956E-0B4C7C8D3F73}" mergeInterval="0" personalView="1" maximized="1" windowWidth="1916" windowHeight="791" tabRatio="894" activeSheetId="2"/>
    <customWorkbookView name="DervoedovIA (Open)_x000a_ - Личное представление" guid="{93BA635E-1664-4099-8295-6B100E16362A}" mergeInterval="0" personalView="1" maximized="1" windowWidth="1797" windowHeight="735" tabRatio="894" activeSheetId="5" showComments="commIndAndComment"/>
  </customWorkbookViews>
</workbook>
</file>

<file path=xl/calcChain.xml><?xml version="1.0" encoding="utf-8"?>
<calcChain xmlns="http://schemas.openxmlformats.org/spreadsheetml/2006/main">
  <c r="K43" i="19" l="1"/>
  <c r="N28" i="19"/>
  <c r="M28" i="19"/>
  <c r="L28" i="19"/>
  <c r="K28" i="19"/>
  <c r="J28" i="19"/>
  <c r="I28" i="19"/>
  <c r="B28" i="19"/>
  <c r="N23" i="19"/>
  <c r="N43" i="19" s="1"/>
  <c r="M23" i="19"/>
  <c r="M43" i="19" s="1"/>
  <c r="L23" i="19"/>
  <c r="L43" i="19" s="1"/>
  <c r="K23" i="19"/>
  <c r="J23" i="19"/>
  <c r="J43" i="19" s="1"/>
  <c r="I23" i="19"/>
  <c r="I43" i="19" s="1"/>
  <c r="B23" i="19"/>
  <c r="B43" i="19" s="1"/>
  <c r="B48" i="19" s="1"/>
  <c r="N18" i="19"/>
  <c r="M18" i="19"/>
  <c r="M17" i="19" s="1"/>
  <c r="M42" i="19" s="1"/>
  <c r="L18" i="19"/>
  <c r="L17" i="19" s="1"/>
  <c r="L42" i="19" s="1"/>
  <c r="K18" i="19"/>
  <c r="J18" i="19"/>
  <c r="I18" i="19"/>
  <c r="I17" i="19" s="1"/>
  <c r="I42" i="19" s="1"/>
  <c r="B18" i="19"/>
  <c r="B17" i="19" s="1"/>
  <c r="B42" i="19" s="1"/>
  <c r="B47" i="19" s="1"/>
  <c r="N17" i="19"/>
  <c r="N42" i="19" s="1"/>
  <c r="K17" i="19"/>
  <c r="K42" i="19" s="1"/>
  <c r="J17" i="19"/>
  <c r="J42" i="19" s="1"/>
  <c r="N12" i="19"/>
  <c r="M12" i="19"/>
  <c r="L12" i="19"/>
  <c r="K12" i="19"/>
  <c r="J12" i="19"/>
  <c r="I12" i="19"/>
  <c r="B12" i="19"/>
  <c r="N6" i="19"/>
  <c r="N4" i="19" s="1"/>
  <c r="N41" i="19" s="1"/>
  <c r="M6" i="19"/>
  <c r="M4" i="19" s="1"/>
  <c r="M41" i="19" s="1"/>
  <c r="L6" i="19"/>
  <c r="K6" i="19"/>
  <c r="J6" i="19"/>
  <c r="J4" i="19" s="1"/>
  <c r="J41" i="19" s="1"/>
  <c r="I6" i="19"/>
  <c r="I4" i="19" s="1"/>
  <c r="I41" i="19" s="1"/>
  <c r="B6" i="19"/>
  <c r="L4" i="19"/>
  <c r="L41" i="19" s="1"/>
  <c r="K4" i="19"/>
  <c r="K41" i="19" s="1"/>
  <c r="B4" i="19"/>
  <c r="B41" i="19" s="1"/>
  <c r="B46" i="19" s="1"/>
  <c r="H42" i="19" l="1"/>
  <c r="N47" i="19"/>
  <c r="C41" i="19"/>
  <c r="I46" i="19"/>
  <c r="G41" i="19"/>
  <c r="M46" i="19"/>
  <c r="L47" i="19"/>
  <c r="F42" i="19"/>
  <c r="C43" i="19"/>
  <c r="I48" i="19"/>
  <c r="G43" i="19"/>
  <c r="M48" i="19"/>
  <c r="E41" i="19"/>
  <c r="K46" i="19"/>
  <c r="D41" i="19"/>
  <c r="J46" i="19"/>
  <c r="H41" i="19"/>
  <c r="N46" i="19"/>
  <c r="D42" i="19"/>
  <c r="J47" i="19"/>
  <c r="I47" i="19"/>
  <c r="C42" i="19"/>
  <c r="M47" i="19"/>
  <c r="G42" i="19"/>
  <c r="J48" i="19"/>
  <c r="D43" i="19"/>
  <c r="N48" i="19"/>
  <c r="H43" i="19"/>
  <c r="E43" i="19"/>
  <c r="L46" i="19"/>
  <c r="F41" i="19"/>
  <c r="K47" i="19"/>
  <c r="E42" i="19"/>
  <c r="F43" i="19"/>
  <c r="L48" i="19"/>
  <c r="K48" i="19"/>
  <c r="U18" i="11"/>
  <c r="S63" i="15" l="1"/>
  <c r="S61" i="15"/>
  <c r="S60" i="15"/>
  <c r="S62" i="15"/>
  <c r="S64" i="15"/>
  <c r="S65" i="15"/>
  <c r="S66" i="15"/>
  <c r="S67" i="15"/>
  <c r="U67" i="15"/>
  <c r="U65" i="15"/>
  <c r="U63" i="15"/>
  <c r="U61" i="15"/>
  <c r="U60" i="15"/>
  <c r="U66" i="15"/>
  <c r="U64" i="15"/>
  <c r="U62" i="15"/>
  <c r="K49" i="16" l="1"/>
  <c r="J49" i="16"/>
  <c r="I49" i="16"/>
  <c r="H49" i="16"/>
  <c r="G49" i="16"/>
  <c r="F49" i="16"/>
  <c r="E49" i="16"/>
  <c r="D49" i="16"/>
  <c r="C49" i="16"/>
  <c r="B49" i="16"/>
  <c r="M46" i="16"/>
  <c r="M44" i="16" s="1"/>
  <c r="M43" i="16" s="1"/>
  <c r="M7" i="16" s="1"/>
  <c r="M45" i="16"/>
  <c r="M41" i="16"/>
  <c r="L41" i="16"/>
  <c r="K41" i="16"/>
  <c r="J41" i="16"/>
  <c r="I41" i="16"/>
  <c r="H41" i="16"/>
  <c r="G41" i="16"/>
  <c r="F41" i="16"/>
  <c r="E41" i="16"/>
  <c r="D41" i="16"/>
  <c r="C41" i="16"/>
  <c r="B41" i="16"/>
  <c r="M40" i="16"/>
  <c r="L40" i="16"/>
  <c r="K40" i="16"/>
  <c r="J40" i="16"/>
  <c r="I40" i="16"/>
  <c r="H40" i="16"/>
  <c r="G40" i="16"/>
  <c r="F40" i="16"/>
  <c r="E40" i="16"/>
  <c r="D40" i="16"/>
  <c r="C40" i="16"/>
  <c r="B40" i="16"/>
  <c r="M39" i="16"/>
  <c r="L39" i="16"/>
  <c r="K39" i="16"/>
  <c r="J39" i="16"/>
  <c r="I39" i="16"/>
  <c r="H39" i="16"/>
  <c r="G39" i="16"/>
  <c r="F39" i="16"/>
  <c r="E39" i="16"/>
  <c r="D39" i="16"/>
  <c r="C39" i="16"/>
  <c r="B39" i="16"/>
  <c r="M38" i="16"/>
  <c r="L38" i="16"/>
  <c r="K38" i="16"/>
  <c r="J38" i="16"/>
  <c r="I38" i="16"/>
  <c r="H38" i="16"/>
  <c r="G38" i="16"/>
  <c r="F38" i="16"/>
  <c r="E38" i="16"/>
  <c r="D38" i="16"/>
  <c r="C38" i="16"/>
  <c r="B38" i="16"/>
  <c r="M37" i="16"/>
  <c r="L37" i="16"/>
  <c r="K37" i="16"/>
  <c r="J37" i="16"/>
  <c r="I37" i="16"/>
  <c r="H37" i="16"/>
  <c r="G37" i="16"/>
  <c r="F37" i="16"/>
  <c r="E37" i="16"/>
  <c r="D37" i="16"/>
  <c r="C37" i="16"/>
  <c r="B37" i="16"/>
  <c r="B35" i="16" s="1"/>
  <c r="B34" i="16" s="1"/>
  <c r="B33" i="16" s="1"/>
  <c r="M36" i="16"/>
  <c r="M35" i="16" s="1"/>
  <c r="M34" i="16" s="1"/>
  <c r="M33" i="16" s="1"/>
  <c r="L36" i="16"/>
  <c r="K36" i="16"/>
  <c r="K35" i="16" s="1"/>
  <c r="K34" i="16" s="1"/>
  <c r="J36" i="16"/>
  <c r="J35" i="16" s="1"/>
  <c r="J34" i="16" s="1"/>
  <c r="J33" i="16" s="1"/>
  <c r="I36" i="16"/>
  <c r="I35" i="16" s="1"/>
  <c r="I34" i="16" s="1"/>
  <c r="I33" i="16" s="1"/>
  <c r="H36" i="16"/>
  <c r="G36" i="16"/>
  <c r="G35" i="16" s="1"/>
  <c r="G34" i="16" s="1"/>
  <c r="F36" i="16"/>
  <c r="F35" i="16" s="1"/>
  <c r="F34" i="16" s="1"/>
  <c r="F33" i="16" s="1"/>
  <c r="E36" i="16"/>
  <c r="E35" i="16" s="1"/>
  <c r="E34" i="16" s="1"/>
  <c r="E33" i="16" s="1"/>
  <c r="D36" i="16"/>
  <c r="D35" i="16" s="1"/>
  <c r="D34" i="16" s="1"/>
  <c r="C36" i="16"/>
  <c r="C35" i="16" s="1"/>
  <c r="C34" i="16" s="1"/>
  <c r="L35" i="16"/>
  <c r="L34" i="16" s="1"/>
  <c r="L33" i="16" s="1"/>
  <c r="H35" i="16"/>
  <c r="H34" i="16"/>
  <c r="H33" i="16" s="1"/>
  <c r="M31" i="16"/>
  <c r="L31" i="16"/>
  <c r="K31" i="16"/>
  <c r="J31" i="16"/>
  <c r="I31" i="16"/>
  <c r="H31" i="16"/>
  <c r="G31" i="16"/>
  <c r="F31" i="16"/>
  <c r="E31" i="16"/>
  <c r="D31" i="16"/>
  <c r="C31" i="16"/>
  <c r="B31" i="16"/>
  <c r="M30" i="16"/>
  <c r="L30" i="16"/>
  <c r="K30" i="16"/>
  <c r="J30" i="16"/>
  <c r="I30" i="16"/>
  <c r="H30" i="16"/>
  <c r="G30" i="16"/>
  <c r="F30" i="16"/>
  <c r="E30" i="16"/>
  <c r="D30" i="16"/>
  <c r="C30" i="16"/>
  <c r="B30" i="16"/>
  <c r="M29" i="16"/>
  <c r="L29" i="16"/>
  <c r="K29" i="16"/>
  <c r="J29" i="16"/>
  <c r="M28" i="16"/>
  <c r="L28" i="16"/>
  <c r="K28" i="16"/>
  <c r="K27" i="16" s="1"/>
  <c r="J28" i="16"/>
  <c r="J27" i="16" s="1"/>
  <c r="M27" i="16"/>
  <c r="L27" i="16"/>
  <c r="I27" i="16"/>
  <c r="H27" i="16"/>
  <c r="G27" i="16"/>
  <c r="F27" i="16"/>
  <c r="E27" i="16"/>
  <c r="D27" i="16"/>
  <c r="C27" i="16"/>
  <c r="B27" i="16"/>
  <c r="M26" i="16"/>
  <c r="M25" i="16" s="1"/>
  <c r="J24" i="16"/>
  <c r="I24" i="16"/>
  <c r="H24" i="16"/>
  <c r="G24" i="16"/>
  <c r="F24" i="16"/>
  <c r="E24" i="16"/>
  <c r="D24" i="16"/>
  <c r="C24" i="16"/>
  <c r="B24" i="16"/>
  <c r="M23" i="16"/>
  <c r="M21" i="16" s="1"/>
  <c r="L23" i="16"/>
  <c r="K23" i="16"/>
  <c r="J23" i="16"/>
  <c r="I23" i="16"/>
  <c r="H23" i="16"/>
  <c r="G23" i="16"/>
  <c r="F23" i="16"/>
  <c r="E23" i="16"/>
  <c r="D23" i="16"/>
  <c r="C23" i="16"/>
  <c r="B23" i="16"/>
  <c r="L22" i="16"/>
  <c r="K22" i="16"/>
  <c r="J22" i="16"/>
  <c r="J21" i="16" s="1"/>
  <c r="I22" i="16"/>
  <c r="H22" i="16"/>
  <c r="G22" i="16"/>
  <c r="G21" i="16" s="1"/>
  <c r="G20" i="16" s="1"/>
  <c r="F22" i="16"/>
  <c r="E22" i="16"/>
  <c r="D22" i="16"/>
  <c r="C22" i="16"/>
  <c r="B22" i="16"/>
  <c r="B21" i="16" s="1"/>
  <c r="M19" i="16"/>
  <c r="L19" i="16"/>
  <c r="K19" i="16"/>
  <c r="J19" i="16"/>
  <c r="I19" i="16"/>
  <c r="H19" i="16"/>
  <c r="G19" i="16"/>
  <c r="F19" i="16"/>
  <c r="E19" i="16"/>
  <c r="D19" i="16"/>
  <c r="C19" i="16"/>
  <c r="B19" i="16"/>
  <c r="M18" i="16"/>
  <c r="L18" i="16"/>
  <c r="K18" i="16"/>
  <c r="J18" i="16"/>
  <c r="I18" i="16"/>
  <c r="H18" i="16"/>
  <c r="G18" i="16"/>
  <c r="F18" i="16"/>
  <c r="E18" i="16"/>
  <c r="D18" i="16"/>
  <c r="C18" i="16"/>
  <c r="B18" i="16"/>
  <c r="M17" i="16"/>
  <c r="L17" i="16"/>
  <c r="K17" i="16"/>
  <c r="J17" i="16"/>
  <c r="I17" i="16"/>
  <c r="H17" i="16"/>
  <c r="H12" i="16" s="1"/>
  <c r="H5" i="16" s="1"/>
  <c r="G17" i="16"/>
  <c r="F17" i="16"/>
  <c r="E17" i="16"/>
  <c r="D17" i="16"/>
  <c r="C17" i="16"/>
  <c r="B17" i="16"/>
  <c r="M16" i="16"/>
  <c r="L16" i="16"/>
  <c r="L11" i="16" s="1"/>
  <c r="L4" i="16" s="1"/>
  <c r="K16" i="16"/>
  <c r="J16" i="16"/>
  <c r="I16" i="16"/>
  <c r="H16" i="16"/>
  <c r="G16" i="16"/>
  <c r="F16" i="16"/>
  <c r="E16" i="16"/>
  <c r="D16" i="16"/>
  <c r="C16" i="16"/>
  <c r="B16" i="16"/>
  <c r="M15" i="16"/>
  <c r="L15" i="16"/>
  <c r="L10" i="16" s="1"/>
  <c r="K15" i="16"/>
  <c r="J15" i="16"/>
  <c r="I15" i="16"/>
  <c r="I10" i="16" s="1"/>
  <c r="I3" i="16" s="1"/>
  <c r="H15" i="16"/>
  <c r="H10" i="16" s="1"/>
  <c r="G15" i="16"/>
  <c r="F15" i="16"/>
  <c r="E15" i="16"/>
  <c r="E10" i="16" s="1"/>
  <c r="E3" i="16" s="1"/>
  <c r="D15" i="16"/>
  <c r="D10" i="16" s="1"/>
  <c r="C15" i="16"/>
  <c r="B15" i="16"/>
  <c r="M14" i="16"/>
  <c r="L14" i="16"/>
  <c r="K14" i="16"/>
  <c r="J14" i="16"/>
  <c r="I14" i="16"/>
  <c r="I13" i="16" s="1"/>
  <c r="H14" i="16"/>
  <c r="G14" i="16"/>
  <c r="F14" i="16"/>
  <c r="E14" i="16"/>
  <c r="D14" i="16"/>
  <c r="C14" i="16"/>
  <c r="B14" i="16"/>
  <c r="M13" i="16"/>
  <c r="L13" i="16"/>
  <c r="K13" i="16"/>
  <c r="J13" i="16"/>
  <c r="H13" i="16"/>
  <c r="G13" i="16"/>
  <c r="F13" i="16"/>
  <c r="E13" i="16"/>
  <c r="D13" i="16"/>
  <c r="C13" i="16"/>
  <c r="B13" i="16"/>
  <c r="L12" i="16"/>
  <c r="L5" i="16" s="1"/>
  <c r="D12" i="16"/>
  <c r="K11" i="16"/>
  <c r="J11" i="16"/>
  <c r="J4" i="16" s="1"/>
  <c r="H11" i="16"/>
  <c r="G11" i="16"/>
  <c r="F11" i="16"/>
  <c r="D11" i="16"/>
  <c r="D4" i="16" s="1"/>
  <c r="C11" i="16"/>
  <c r="C4" i="16" s="1"/>
  <c r="B11" i="16"/>
  <c r="K10" i="16"/>
  <c r="K3" i="16" s="1"/>
  <c r="G10" i="16"/>
  <c r="F10" i="16"/>
  <c r="F3" i="16" s="1"/>
  <c r="C10" i="16"/>
  <c r="C3" i="16" s="1"/>
  <c r="B10" i="16"/>
  <c r="B3" i="16" s="1"/>
  <c r="K4" i="16"/>
  <c r="H4" i="16"/>
  <c r="G4" i="16"/>
  <c r="F4" i="16"/>
  <c r="B4" i="16"/>
  <c r="G3" i="16"/>
  <c r="E21" i="16" l="1"/>
  <c r="E20" i="16" s="1"/>
  <c r="I21" i="16"/>
  <c r="I20" i="16" s="1"/>
  <c r="M20" i="16"/>
  <c r="F21" i="16"/>
  <c r="C21" i="16"/>
  <c r="C20" i="16" s="1"/>
  <c r="K21" i="16"/>
  <c r="K20" i="16" s="1"/>
  <c r="K12" i="16"/>
  <c r="C12" i="16"/>
  <c r="C9" i="16" s="1"/>
  <c r="G12" i="16"/>
  <c r="H9" i="16"/>
  <c r="H3" i="16"/>
  <c r="H2" i="16" s="1"/>
  <c r="D5" i="16"/>
  <c r="D33" i="16"/>
  <c r="D9" i="16"/>
  <c r="D3" i="16"/>
  <c r="L9" i="16"/>
  <c r="L3" i="16"/>
  <c r="L2" i="16" s="1"/>
  <c r="E12" i="16"/>
  <c r="E5" i="16" s="1"/>
  <c r="K9" i="16"/>
  <c r="M10" i="16"/>
  <c r="M3" i="16" s="1"/>
  <c r="M12" i="16"/>
  <c r="M5" i="16" s="1"/>
  <c r="I12" i="16"/>
  <c r="I5" i="16" s="1"/>
  <c r="D21" i="16"/>
  <c r="D20" i="16" s="1"/>
  <c r="H21" i="16"/>
  <c r="H20" i="16" s="1"/>
  <c r="L21" i="16"/>
  <c r="L20" i="16" s="1"/>
  <c r="B20" i="16"/>
  <c r="F20" i="16"/>
  <c r="J20" i="16"/>
  <c r="J10" i="16"/>
  <c r="J3" i="16" s="1"/>
  <c r="J12" i="16"/>
  <c r="B12" i="16"/>
  <c r="B5" i="16" s="1"/>
  <c r="B2" i="16" s="1"/>
  <c r="F12" i="16"/>
  <c r="F5" i="16" s="1"/>
  <c r="F2" i="16" s="1"/>
  <c r="G9" i="16"/>
  <c r="C33" i="16"/>
  <c r="G33" i="16"/>
  <c r="G5" i="16"/>
  <c r="G2" i="16" s="1"/>
  <c r="K33" i="16"/>
  <c r="K5" i="16"/>
  <c r="K2" i="16" s="1"/>
  <c r="J5" i="16"/>
  <c r="B9" i="16"/>
  <c r="E11" i="16"/>
  <c r="I11" i="16"/>
  <c r="M11" i="16"/>
  <c r="M4" i="16" s="1"/>
  <c r="T15" i="13"/>
  <c r="L32" i="13"/>
  <c r="C5" i="16" l="1"/>
  <c r="C2" i="16" s="1"/>
  <c r="J9" i="16"/>
  <c r="D2" i="16"/>
  <c r="F9" i="16"/>
  <c r="J2" i="16"/>
  <c r="I9" i="16"/>
  <c r="I4" i="16"/>
  <c r="I2" i="16" s="1"/>
  <c r="E9" i="16"/>
  <c r="E4" i="16"/>
  <c r="E2" i="16" s="1"/>
  <c r="M2" i="16"/>
  <c r="M9" i="16"/>
  <c r="S20" i="14" l="1"/>
  <c r="S3" i="14" s="1"/>
  <c r="S6" i="14"/>
  <c r="S5" i="14"/>
  <c r="S4" i="14"/>
  <c r="Q3" i="14" l="1"/>
  <c r="Q6" i="14" l="1"/>
  <c r="Q5" i="14"/>
  <c r="Q4" i="14"/>
  <c r="Q6" i="15" l="1"/>
  <c r="AJ10" i="8" l="1"/>
  <c r="AK39" i="4"/>
  <c r="AK36" i="4"/>
  <c r="AK3" i="2"/>
  <c r="AK4" i="2"/>
  <c r="AK5" i="2"/>
  <c r="AK6" i="2"/>
  <c r="AK8" i="2"/>
  <c r="AK9" i="2"/>
  <c r="AK10" i="2"/>
  <c r="AK11" i="2"/>
  <c r="AK12" i="2"/>
  <c r="AK13" i="2"/>
  <c r="AK15" i="2"/>
  <c r="AK16" i="2"/>
  <c r="AK17" i="2"/>
  <c r="AK18" i="2"/>
  <c r="Q62" i="15" l="1"/>
</calcChain>
</file>

<file path=xl/sharedStrings.xml><?xml version="1.0" encoding="utf-8"?>
<sst xmlns="http://schemas.openxmlformats.org/spreadsheetml/2006/main" count="1857" uniqueCount="668">
  <si>
    <t>IFRS</t>
  </si>
  <si>
    <t>S&amp;P</t>
  </si>
  <si>
    <t>Moody's</t>
  </si>
  <si>
    <t xml:space="preserve">Fitch </t>
  </si>
  <si>
    <t>Weighted average number of shares</t>
  </si>
  <si>
    <t>Data period</t>
  </si>
  <si>
    <t>MAIN MENU</t>
  </si>
  <si>
    <t>SELECTED FINANCIAL RATIOS</t>
  </si>
  <si>
    <t>INCOME STATEMENT</t>
  </si>
  <si>
    <t>REVENUE BREAKDOWN</t>
  </si>
  <si>
    <t>EBITDA CALCULATION</t>
  </si>
  <si>
    <t>COST BREAKDOWN</t>
  </si>
  <si>
    <t>COST BREAKDOWN BY REGION</t>
  </si>
  <si>
    <t>BALANCE SHEET</t>
  </si>
  <si>
    <t>CASH FLOW STATEMENT</t>
  </si>
  <si>
    <t>WORKING CAPITAL</t>
  </si>
  <si>
    <t>CAPEX BREAKDOWN</t>
  </si>
  <si>
    <t>DEBT AND LIQUIDITY</t>
  </si>
  <si>
    <t>METAL SALES&amp;PRICES</t>
  </si>
  <si>
    <t>PRODUCTION DATA</t>
  </si>
  <si>
    <t>Note:</t>
  </si>
  <si>
    <t>Revenue</t>
  </si>
  <si>
    <t>Revenue from metal sales</t>
  </si>
  <si>
    <t>Copper</t>
  </si>
  <si>
    <t>Palladium</t>
  </si>
  <si>
    <t>Platinum</t>
  </si>
  <si>
    <t>Revenue from other sales</t>
  </si>
  <si>
    <t>Other</t>
  </si>
  <si>
    <t>Cost of other sales</t>
  </si>
  <si>
    <t>Gross profit</t>
  </si>
  <si>
    <t>Selling and distribution expenses</t>
  </si>
  <si>
    <t>General and administrative expenses</t>
  </si>
  <si>
    <t>Operating income</t>
  </si>
  <si>
    <t>Income/Loss from investments, net, incl:</t>
  </si>
  <si>
    <t>Gain on disposal of subsidiary</t>
  </si>
  <si>
    <t>Interest income on bank deposits</t>
  </si>
  <si>
    <t>Interest income on held-to-maturity investments</t>
  </si>
  <si>
    <t>Impairment of loans issued</t>
  </si>
  <si>
    <t>Realised loss on disposal of investments</t>
  </si>
  <si>
    <t>Share of profits/(losses) of associates</t>
  </si>
  <si>
    <t>Profit before tax</t>
  </si>
  <si>
    <t>Income tax expense</t>
  </si>
  <si>
    <t>Attributable to:</t>
  </si>
  <si>
    <t>Shareholders of the parent company</t>
  </si>
  <si>
    <t>Non-controlling interests</t>
  </si>
  <si>
    <t>Basic and diluted earnings per share attributable to shareholders of the parent company (USD per share)</t>
  </si>
  <si>
    <t>Segmental Revenue</t>
  </si>
  <si>
    <t>Polar Division</t>
  </si>
  <si>
    <t>Kola MMC</t>
  </si>
  <si>
    <t>NN Harjavalta</t>
  </si>
  <si>
    <t>Nickel</t>
  </si>
  <si>
    <t>Other metals</t>
  </si>
  <si>
    <t>Europe</t>
  </si>
  <si>
    <t>Asia</t>
  </si>
  <si>
    <t>Russian Federation</t>
  </si>
  <si>
    <t>Source: Company data</t>
  </si>
  <si>
    <t>Notes:</t>
  </si>
  <si>
    <t>Operating Profit</t>
  </si>
  <si>
    <t>Depreciation and amortisation</t>
  </si>
  <si>
    <t>Impairment of non-financial assets</t>
  </si>
  <si>
    <t>Change in provisions for onerous contracts</t>
  </si>
  <si>
    <t>EBITDA</t>
  </si>
  <si>
    <t>EBITDA margin (%)</t>
  </si>
  <si>
    <t>EBITDA Segmental breakdown</t>
  </si>
  <si>
    <t>Consolidated EBITDA</t>
  </si>
  <si>
    <t>FINANCIAL HIGHLIGHTS</t>
  </si>
  <si>
    <t>Botswana</t>
  </si>
  <si>
    <t>-</t>
  </si>
  <si>
    <t>ASSETS</t>
  </si>
  <si>
    <t>Goodwill</t>
  </si>
  <si>
    <t>Intangible assets</t>
  </si>
  <si>
    <t>Investment property</t>
  </si>
  <si>
    <t>Investments in associates</t>
  </si>
  <si>
    <t>Other financial assets</t>
  </si>
  <si>
    <t>Other taxes receivable</t>
  </si>
  <si>
    <t>Deferred tax assets</t>
  </si>
  <si>
    <t>Other non-current assets</t>
  </si>
  <si>
    <t>Non-current assets</t>
  </si>
  <si>
    <t>Inventories</t>
  </si>
  <si>
    <t>Trade and other receivables</t>
  </si>
  <si>
    <t>Advances paid and prepaid expenses</t>
  </si>
  <si>
    <t>Income tax receivable</t>
  </si>
  <si>
    <t>Cash and cash equivalents</t>
  </si>
  <si>
    <t>Current assets</t>
  </si>
  <si>
    <t>Assets classified as held for sale</t>
  </si>
  <si>
    <t>TOTAL ASSETS</t>
  </si>
  <si>
    <t>EQUITY AND LIABILITIES</t>
  </si>
  <si>
    <t>Share capital</t>
  </si>
  <si>
    <t>Share premium</t>
  </si>
  <si>
    <t>Reserves of disposal group classified as held for sale</t>
  </si>
  <si>
    <t>Capital and reserves</t>
  </si>
  <si>
    <t>Loans and borrowings</t>
  </si>
  <si>
    <t>Employee benefit obligations</t>
  </si>
  <si>
    <t>Provisions</t>
  </si>
  <si>
    <t>Trade and other payables</t>
  </si>
  <si>
    <t>Other taxes payable</t>
  </si>
  <si>
    <t>Deferred tax liabilities</t>
  </si>
  <si>
    <t>Obligation under finance leases</t>
  </si>
  <si>
    <t>Non-current liabilities</t>
  </si>
  <si>
    <t>Dividends payable</t>
  </si>
  <si>
    <t>Derivative financial instruments</t>
  </si>
  <si>
    <t>Income tax payable</t>
  </si>
  <si>
    <t>Current liabilities</t>
  </si>
  <si>
    <t>TOTAL LIABILITIES</t>
  </si>
  <si>
    <t>TOTAL EQUITY AND LIABILITIES</t>
  </si>
  <si>
    <t>Cash operating costs</t>
  </si>
  <si>
    <t>Labour</t>
  </si>
  <si>
    <t>Materials and supplies</t>
  </si>
  <si>
    <t>Fuel</t>
  </si>
  <si>
    <t>Transportation expenses</t>
  </si>
  <si>
    <t>Sundry costs</t>
  </si>
  <si>
    <t>Cash operating costs (before by-product credits)</t>
  </si>
  <si>
    <t xml:space="preserve">Сash operating costs </t>
  </si>
  <si>
    <t xml:space="preserve">Depreciation and amortisation </t>
  </si>
  <si>
    <t>Decrease/(increase) in metal inventories</t>
  </si>
  <si>
    <t>Total cost of metal sales</t>
  </si>
  <si>
    <t>Total</t>
  </si>
  <si>
    <t>Export customs duties</t>
  </si>
  <si>
    <t>Revenue from sale of by-product metals</t>
  </si>
  <si>
    <t>Total Group cash operating costs</t>
  </si>
  <si>
    <t>Total cash operating costs (Group)</t>
  </si>
  <si>
    <t>Current Assets</t>
  </si>
  <si>
    <t>Income tax receivables</t>
  </si>
  <si>
    <t>Total Working Capital</t>
  </si>
  <si>
    <t>LTM Increase/(decrease) in net working capital</t>
  </si>
  <si>
    <t>of which main upstream projects:</t>
  </si>
  <si>
    <t>Skalisty mine</t>
  </si>
  <si>
    <t>Taimyrsky mine</t>
  </si>
  <si>
    <t>Komsomolsky mine</t>
  </si>
  <si>
    <t>Oktyabrsly mine</t>
  </si>
  <si>
    <t>Nickel plant closure activities</t>
  </si>
  <si>
    <t>Chita Copper Project</t>
  </si>
  <si>
    <t>Short-term debt</t>
  </si>
  <si>
    <t>Long-term debt</t>
  </si>
  <si>
    <t>Total debt</t>
  </si>
  <si>
    <t>Net debt</t>
  </si>
  <si>
    <t>Net Debt/EBITDA</t>
  </si>
  <si>
    <t>RUB</t>
  </si>
  <si>
    <t>USD</t>
  </si>
  <si>
    <t>Securied</t>
  </si>
  <si>
    <t>Unsecuried</t>
  </si>
  <si>
    <t>METAL SALES BY ORIGIN OF PRODUCTION</t>
  </si>
  <si>
    <t>Russian entities</t>
  </si>
  <si>
    <t>Nickel (thousand tonnes)</t>
  </si>
  <si>
    <t>Copper (thousand tonnes)</t>
  </si>
  <si>
    <t>Palladium (thousand ounces)</t>
  </si>
  <si>
    <t>Platinum (thousand ounces)</t>
  </si>
  <si>
    <t>Gold (thousand ounces)</t>
  </si>
  <si>
    <t>Finland</t>
  </si>
  <si>
    <t>Nickel  (USD per tonne)</t>
  </si>
  <si>
    <t>Copper (USD per tonne)</t>
  </si>
  <si>
    <t>Palladium (USD per troy ounce)</t>
  </si>
  <si>
    <t>Platinum (USD per troy ounce)</t>
  </si>
  <si>
    <t>USD/RUB average</t>
  </si>
  <si>
    <t>USD/RUB period end</t>
  </si>
  <si>
    <t>SALEABLE METALS PRODUCTION</t>
  </si>
  <si>
    <t>Nickel,  tonnes</t>
  </si>
  <si>
    <t>from Russian feed</t>
  </si>
  <si>
    <t>from 3d parties feed</t>
  </si>
  <si>
    <t>Copper, tonnes</t>
  </si>
  <si>
    <t>Palladium, thousand troy ounces</t>
  </si>
  <si>
    <t>Platinum, thousand troy ounces</t>
  </si>
  <si>
    <t>Norilsk Nickel Australia (Lake Johnston)</t>
  </si>
  <si>
    <t>Norilsk Nickel Africa (Tati and Nkomati)</t>
  </si>
  <si>
    <t>Tati Nickel nickel total, including</t>
  </si>
  <si>
    <t xml:space="preserve">thereof Tati Nickel nickel to 3d parties, tonnes </t>
  </si>
  <si>
    <t>thereof Tati Nickel nickel processed in the Company, tonnes</t>
  </si>
  <si>
    <t>Tati Nickel copper total, including</t>
  </si>
  <si>
    <t xml:space="preserve">thereof Tati Nickel copper to 3d parties, tonnes </t>
  </si>
  <si>
    <t>thereof Tati Nickel copper processed in the Company, tonnes</t>
  </si>
  <si>
    <t>Tati Nickel palladium total, including</t>
  </si>
  <si>
    <t>thereof Tati Nickel palladium to 3d parties, thousand troy ounces</t>
  </si>
  <si>
    <t>thereof Tati Nickel palladium processed in the Company, thousand troy ounces</t>
  </si>
  <si>
    <t>Tati Nickel platinum total, including</t>
  </si>
  <si>
    <t>thereof Tati Nickel platinum to 3d parties, thousand troy ounces</t>
  </si>
  <si>
    <t>thereof Tati Nickel platinum processed in the Company, thousand troy ounces</t>
  </si>
  <si>
    <t>Nickel, tonnes</t>
  </si>
  <si>
    <t>USD mln</t>
  </si>
  <si>
    <t>Net income</t>
  </si>
  <si>
    <t>Net Operating Activities (CFO)</t>
  </si>
  <si>
    <t>Net Investing Activities (CFI)</t>
  </si>
  <si>
    <t>Net Financing Activities (CFF)</t>
  </si>
  <si>
    <t xml:space="preserve">Capital expenditures </t>
  </si>
  <si>
    <t>Free cash flow (CFO + CFI)</t>
  </si>
  <si>
    <t>Total gross debt</t>
  </si>
  <si>
    <t>Cash and cash equivalent</t>
  </si>
  <si>
    <t>Total Net Debt</t>
  </si>
  <si>
    <t>ROIC (%)</t>
  </si>
  <si>
    <t>Earning per share (USD per share)²</t>
  </si>
  <si>
    <t>Book value per share (USD)</t>
  </si>
  <si>
    <t>²From continuing and discontinued operations</t>
  </si>
  <si>
    <t>Profitability Ratios</t>
  </si>
  <si>
    <t>Operating margin (%)</t>
  </si>
  <si>
    <t>Gross profit margin (%)</t>
  </si>
  <si>
    <t>Net  margin (%)</t>
  </si>
  <si>
    <t>Credit Ratios</t>
  </si>
  <si>
    <t>EBITDA/Gross Interest (х)</t>
  </si>
  <si>
    <t>FFO/Gross Debt (%)</t>
  </si>
  <si>
    <t>Net Debt/12M EBITDA (х)</t>
  </si>
  <si>
    <t>Net Debt/Equity (х)</t>
  </si>
  <si>
    <t>CFO/Capex (х)</t>
  </si>
  <si>
    <t>Capex/Revenue (%)</t>
  </si>
  <si>
    <t>ROIC calculation</t>
  </si>
  <si>
    <t>Invested capital, as of year-end</t>
  </si>
  <si>
    <t>Invested capital, average for the current and prior year</t>
  </si>
  <si>
    <t>NOPLAT</t>
  </si>
  <si>
    <t>Consolidated revenue</t>
  </si>
  <si>
    <t>NA</t>
  </si>
  <si>
    <t>1H 10</t>
  </si>
  <si>
    <t>1H 11</t>
  </si>
  <si>
    <t>1H 12</t>
  </si>
  <si>
    <t>1H 13</t>
  </si>
  <si>
    <t>1H 14</t>
  </si>
  <si>
    <t>1H 15</t>
  </si>
  <si>
    <t>2012/2011</t>
  </si>
  <si>
    <t>MENU</t>
  </si>
  <si>
    <t>─</t>
  </si>
  <si>
    <t>Gain on remeasurement to fair value of the Group’s existing interest in associate</t>
  </si>
  <si>
    <t xml:space="preserve">Impairment of available-for-sale investments including impairment loss reclassified from comprehensive income </t>
  </si>
  <si>
    <t>2010/            2009</t>
  </si>
  <si>
    <t>1H 11/        1H 10</t>
  </si>
  <si>
    <t>2011/   2010</t>
  </si>
  <si>
    <t>1H 12/      1H 11</t>
  </si>
  <si>
    <t>2012/       2011</t>
  </si>
  <si>
    <t>1H 13/       1H 12</t>
  </si>
  <si>
    <t>2013/         2012</t>
  </si>
  <si>
    <t>1H 14/      1H 13</t>
  </si>
  <si>
    <t>2014/      2013</t>
  </si>
  <si>
    <t>1H 15/      1H 14</t>
  </si>
  <si>
    <t>Property,plant and equipment</t>
  </si>
  <si>
    <t>Retained Earnings</t>
  </si>
  <si>
    <t>Equity attributed to shareholders of the parent company</t>
  </si>
  <si>
    <t>2010/                            2009</t>
  </si>
  <si>
    <t>2011/    2010</t>
  </si>
  <si>
    <t>1H 12/           1H 11</t>
  </si>
  <si>
    <t>1H 13/           1H 12</t>
  </si>
  <si>
    <t>2013/      2012</t>
  </si>
  <si>
    <t>1H 14/         1H 13</t>
  </si>
  <si>
    <t>2014/            2013</t>
  </si>
  <si>
    <t>1H 15/         1H 14</t>
  </si>
  <si>
    <t>Changes according to BS</t>
  </si>
  <si>
    <t>2010/  2009</t>
  </si>
  <si>
    <t>1H 11/    1H 10</t>
  </si>
  <si>
    <t>1H 12/ 1H 11</t>
  </si>
  <si>
    <t>2012/   2011</t>
  </si>
  <si>
    <t>1H 13/     1H 12</t>
  </si>
  <si>
    <t>2013/    2012</t>
  </si>
  <si>
    <t>1H 14/     1H 13</t>
  </si>
  <si>
    <t>2014/  2013</t>
  </si>
  <si>
    <t>1H 15/     1H 14</t>
  </si>
  <si>
    <t>Other tax receivables</t>
  </si>
  <si>
    <t xml:space="preserve"> </t>
  </si>
  <si>
    <t>LT social commitments</t>
  </si>
  <si>
    <t>2013/       2012</t>
  </si>
  <si>
    <t>1H 14/       1H 13</t>
  </si>
  <si>
    <t>2014/   2013</t>
  </si>
  <si>
    <t>1H 15/       1H 14</t>
  </si>
  <si>
    <t>NET DEBT</t>
  </si>
  <si>
    <t>2010/       2009</t>
  </si>
  <si>
    <t>1H 11/         1H 10</t>
  </si>
  <si>
    <t>2011/      2010</t>
  </si>
  <si>
    <t>1H 12/    1H 11</t>
  </si>
  <si>
    <t>2014/     2013</t>
  </si>
  <si>
    <t>DEBT STRUCTURE</t>
  </si>
  <si>
    <t>Currency</t>
  </si>
  <si>
    <t>Collateral</t>
  </si>
  <si>
    <t>As of 31.12.2013</t>
  </si>
  <si>
    <t>As of 30.06.2014</t>
  </si>
  <si>
    <t>As of 31.12.2014</t>
  </si>
  <si>
    <t>As of 30.06.2015</t>
  </si>
  <si>
    <t>na</t>
  </si>
  <si>
    <t>As of 31.12.2015</t>
  </si>
  <si>
    <t>2010/         2009</t>
  </si>
  <si>
    <t>1H 11/      1H 10</t>
  </si>
  <si>
    <t>1H 13/         1H 12</t>
  </si>
  <si>
    <t>2013/          2012</t>
  </si>
  <si>
    <t>1H 14/           1H 13</t>
  </si>
  <si>
    <t>1H 15/           1H 14</t>
  </si>
  <si>
    <t>Total cost of other sales</t>
  </si>
  <si>
    <t>Total selling and distribution expenses</t>
  </si>
  <si>
    <t>Total general and administrative expenses</t>
  </si>
  <si>
    <t xml:space="preserve">Total </t>
  </si>
  <si>
    <t>Total cash operating costs (Russian entities)</t>
  </si>
  <si>
    <t>2010/ 2009</t>
  </si>
  <si>
    <t>1H 12/     1H 11</t>
  </si>
  <si>
    <t>2012/     2011</t>
  </si>
  <si>
    <t>1H 13/    1H 12</t>
  </si>
  <si>
    <t>1H 14/    1H 13</t>
  </si>
  <si>
    <t>2014/    2013</t>
  </si>
  <si>
    <t>1H 15/    1H 14</t>
  </si>
  <si>
    <t>EBITDA 12M/Total Assets (х)</t>
  </si>
  <si>
    <t>Net increase/(decrease) in cash and cash equivalents</t>
  </si>
  <si>
    <t>Dividends paid by the Group’s subsidiaries to non-controlling shareholders</t>
  </si>
  <si>
    <t>Interest paid</t>
  </si>
  <si>
    <t>Proceeds from sales of shares from treasury stock</t>
  </si>
  <si>
    <t>Income tax paid on transfer of treasury shares from the Company to its subsidiaries</t>
  </si>
  <si>
    <t>Increase of ownership in subsidiaries</t>
  </si>
  <si>
    <t>Buy back of issued shares</t>
  </si>
  <si>
    <t>Proceeds from loans and borrowings</t>
  </si>
  <si>
    <t>FINANCING ACTIVITIES</t>
  </si>
  <si>
    <t>Net cash used in investing activities</t>
  </si>
  <si>
    <t>Dividends received</t>
  </si>
  <si>
    <t>Proceeds from disposal of intangible assets</t>
  </si>
  <si>
    <t>Proceeds from sale of other financial assets</t>
  </si>
  <si>
    <t>Net change in deposits placed</t>
  </si>
  <si>
    <t>Purchase of other non-current assets</t>
  </si>
  <si>
    <t>Purchase of other financial assets</t>
  </si>
  <si>
    <t>Purchase of intangible assets</t>
  </si>
  <si>
    <t>Proceeds from disposal of assets classified as held for sale</t>
  </si>
  <si>
    <t>Proceeds from disposal of property, plant and equipment</t>
  </si>
  <si>
    <t>Purchase of property, plant and equipment</t>
  </si>
  <si>
    <t>Contribution to associate and acquisition of associate</t>
  </si>
  <si>
    <t>Net cash inflow from disposal of subsidiary</t>
  </si>
  <si>
    <t>Acquisition of subsidiary, net of cash acquired</t>
  </si>
  <si>
    <t>INVESTING ACTIVITIES</t>
  </si>
  <si>
    <t>Net cash generated from operating activities</t>
  </si>
  <si>
    <t>Income tax paid</t>
  </si>
  <si>
    <t>Cash generated from operations</t>
  </si>
  <si>
    <t>Other tax receivable</t>
  </si>
  <si>
    <t>Movements in working capital:</t>
  </si>
  <si>
    <t>Excess of decrease in decommissioning obligations over asset’s net book value</t>
  </si>
  <si>
    <t>Change in tax provisions</t>
  </si>
  <si>
    <t>Finance costs and income from investments, net</t>
  </si>
  <si>
    <t>Gain on disposal of investments</t>
  </si>
  <si>
    <t>Loss/(gain) from disposal of assets classified as held for sale</t>
  </si>
  <si>
    <t>Excess of the Group’s share in the fair value of net assets acquired over the cost of acquisition</t>
  </si>
  <si>
    <t>Loss on remeasurement to fair value less cost to sell</t>
  </si>
  <si>
    <t>Impairment of financial assets</t>
  </si>
  <si>
    <t>Impairment of intangible assets and goodwill</t>
  </si>
  <si>
    <t>Impairment of investments in associates</t>
  </si>
  <si>
    <t>Adjustments for:</t>
  </si>
  <si>
    <t>OPERATING ACTIVITIES</t>
  </si>
  <si>
    <t>2013/     2012</t>
  </si>
  <si>
    <t>1H 12/        1H 11</t>
  </si>
  <si>
    <t>2011/       2010</t>
  </si>
  <si>
    <t>1H 11/       1H 10</t>
  </si>
  <si>
    <t>2015/    2014</t>
  </si>
  <si>
    <t>2015/            2014</t>
  </si>
  <si>
    <t>Cost of metal sales</t>
  </si>
  <si>
    <t>Loans issued</t>
  </si>
  <si>
    <t>Proceeds from disposal of subsidiaries and associates</t>
  </si>
  <si>
    <t>¹ Statements for 2013 and earlier do not include all effects of changes of accounting estimates</t>
  </si>
  <si>
    <t>1H 16/           1H 15</t>
  </si>
  <si>
    <t>1H 16</t>
  </si>
  <si>
    <t>As of 30.06.2016</t>
  </si>
  <si>
    <t>Dividends paid per share (USD per share)¹</t>
  </si>
  <si>
    <t>Gain/(loss) from disposal of subsidiaries and assets classified as held for sale</t>
  </si>
  <si>
    <t>Third party services</t>
  </si>
  <si>
    <t>Mineral extraction tax and other levies</t>
  </si>
  <si>
    <t>Electricity and heat energy</t>
  </si>
  <si>
    <t>(Gain)/Loss on disposal of property, plant and equipment</t>
  </si>
  <si>
    <t>Share of losses/(profits) in associates</t>
  </si>
  <si>
    <t>(Gain)/loss on disposal of subsidiary</t>
  </si>
  <si>
    <t>Repayments of loans and borrowings</t>
  </si>
  <si>
    <t>Dividends paid</t>
  </si>
  <si>
    <t>Advances received for sale of treasury shares</t>
  </si>
  <si>
    <t>Cash and cash equivalents related to assets classified as held for sale at the beginning of the period</t>
  </si>
  <si>
    <t>Cash and cash equivalents related to assets classified as held for sale at the end of the period</t>
  </si>
  <si>
    <t>Effects of foreign exchange differences on balances of cash and cash equivalents</t>
  </si>
  <si>
    <t>Income from investments, net</t>
  </si>
  <si>
    <t>GMK  Group</t>
  </si>
  <si>
    <t>KGMK group</t>
  </si>
  <si>
    <t>Other non-metallurgical</t>
  </si>
  <si>
    <t>Eliminations</t>
  </si>
  <si>
    <t>Staff costs</t>
  </si>
  <si>
    <t>Taxes other than mineral extraction tax and income tax </t>
  </si>
  <si>
    <t>Unallocated</t>
  </si>
  <si>
    <t>Other long-term liabilities</t>
  </si>
  <si>
    <t>2016/            2015</t>
  </si>
  <si>
    <t>As of 31.12.2016</t>
  </si>
  <si>
    <t>South and North America</t>
  </si>
  <si>
    <t>3 year average effective rate (%)</t>
  </si>
  <si>
    <t>Effective tax rate (%)</t>
  </si>
  <si>
    <t>1H 11/           1H 10</t>
  </si>
  <si>
    <t>Trade and other long-term payables</t>
  </si>
  <si>
    <t>Proceeds/buy-out of non-controlling interest in a subsidiary</t>
  </si>
  <si>
    <t>BBB-/Stable</t>
  </si>
  <si>
    <r>
      <rPr>
        <i/>
        <vertAlign val="superscript"/>
        <sz val="10"/>
        <color theme="1"/>
        <rFont val="Tahoma"/>
        <family val="2"/>
        <charset val="204"/>
      </rPr>
      <t xml:space="preserve">1 </t>
    </r>
    <r>
      <rPr>
        <i/>
        <sz val="10"/>
        <color theme="1"/>
        <rFont val="Tahoma"/>
        <family val="2"/>
        <charset val="204"/>
      </rPr>
      <t>Statements for 2013 and earlier do not include all effects of changes of accounting estimates</t>
    </r>
  </si>
  <si>
    <r>
      <rPr>
        <i/>
        <vertAlign val="superscript"/>
        <sz val="10"/>
        <color theme="1"/>
        <rFont val="Tahoma"/>
        <family val="2"/>
        <charset val="204"/>
      </rPr>
      <t>4</t>
    </r>
    <r>
      <rPr>
        <i/>
        <sz val="10"/>
        <color theme="1"/>
        <rFont val="Tahoma"/>
        <family val="2"/>
        <charset val="204"/>
      </rPr>
      <t xml:space="preserve"> Funds from operations are calculated as Net Income + Depreciation and amortization</t>
    </r>
  </si>
  <si>
    <r>
      <t>FINANCIAL HIGHLIGHTS</t>
    </r>
    <r>
      <rPr>
        <b/>
        <vertAlign val="superscript"/>
        <sz val="10"/>
        <color theme="0"/>
        <rFont val="Tahoma"/>
        <family val="2"/>
        <charset val="204"/>
      </rPr>
      <t xml:space="preserve"> 1</t>
    </r>
  </si>
  <si>
    <r>
      <t>Funds from Operations (FFO)</t>
    </r>
    <r>
      <rPr>
        <vertAlign val="superscript"/>
        <sz val="10"/>
        <color theme="1"/>
        <rFont val="Tahoma"/>
        <family val="2"/>
        <charset val="204"/>
      </rPr>
      <t>4</t>
    </r>
  </si>
  <si>
    <r>
      <rPr>
        <i/>
        <vertAlign val="superscript"/>
        <sz val="10"/>
        <color theme="1"/>
        <rFont val="Tahoma"/>
        <family val="2"/>
        <charset val="204"/>
      </rPr>
      <t>2</t>
    </r>
    <r>
      <rPr>
        <i/>
        <sz val="10"/>
        <color theme="1"/>
        <rFont val="Tahoma"/>
        <family val="2"/>
        <charset val="204"/>
      </rPr>
      <t xml:space="preserve"> ROCE is calculated as EBIT / (Average total assets - Average current liabilities)</t>
    </r>
  </si>
  <si>
    <r>
      <t>ROCE (%)</t>
    </r>
    <r>
      <rPr>
        <vertAlign val="superscript"/>
        <sz val="10"/>
        <color theme="1"/>
        <rFont val="Tahoma"/>
        <family val="2"/>
        <charset val="204"/>
      </rPr>
      <t>2</t>
    </r>
  </si>
  <si>
    <r>
      <rPr>
        <i/>
        <vertAlign val="superscript"/>
        <sz val="10"/>
        <color theme="1"/>
        <rFont val="Tahoma"/>
        <family val="2"/>
        <charset val="204"/>
      </rPr>
      <t xml:space="preserve">1 </t>
    </r>
    <r>
      <rPr>
        <i/>
        <sz val="10"/>
        <color theme="1"/>
        <rFont val="Tahoma"/>
        <family val="2"/>
        <charset val="204"/>
      </rPr>
      <t>Data for 2013 and prior periods have not been adjusted for changes in accounting policies</t>
    </r>
  </si>
  <si>
    <r>
      <rPr>
        <i/>
        <vertAlign val="superscript"/>
        <sz val="10"/>
        <color theme="1"/>
        <rFont val="Tahoma"/>
        <family val="2"/>
        <charset val="204"/>
      </rPr>
      <t>2</t>
    </r>
    <r>
      <rPr>
        <i/>
        <sz val="10"/>
        <color theme="1"/>
        <rFont val="Tahoma"/>
        <family val="2"/>
        <charset val="204"/>
      </rPr>
      <t xml:space="preserve"> Statements for 1H 14 and earlier do not include all effects of changes in presentation</t>
    </r>
  </si>
  <si>
    <r>
      <t xml:space="preserve">EBITDA </t>
    </r>
    <r>
      <rPr>
        <b/>
        <vertAlign val="superscript"/>
        <sz val="10"/>
        <color theme="0"/>
        <rFont val="Tahoma"/>
        <family val="2"/>
        <charset val="204"/>
      </rPr>
      <t>1</t>
    </r>
  </si>
  <si>
    <r>
      <rPr>
        <i/>
        <vertAlign val="superscript"/>
        <sz val="10"/>
        <color theme="1"/>
        <rFont val="Tahoma"/>
        <family val="2"/>
        <charset val="204"/>
      </rPr>
      <t>2</t>
    </r>
    <r>
      <rPr>
        <i/>
        <sz val="10"/>
        <color theme="1"/>
        <rFont val="Tahoma"/>
        <family val="2"/>
        <charset val="204"/>
      </rPr>
      <t>Management reassessed classification of rhodium, silver and cobalt metals. Revenue from these metals was treated as revenue from by-products and was recognised as a reduction in cost of metal sales for 1H 13 and earlier.After reclassification from 2013 this revenue is recognised as sales of joint products within metal sales</t>
    </r>
  </si>
  <si>
    <r>
      <t>2</t>
    </r>
    <r>
      <rPr>
        <i/>
        <sz val="10"/>
        <color rgb="FF000000"/>
        <rFont val="Tahoma"/>
        <family val="2"/>
        <charset val="204"/>
      </rPr>
      <t xml:space="preserve"> Based on management accounts</t>
    </r>
  </si>
  <si>
    <r>
      <t xml:space="preserve">Palladium, (thousand ounces) </t>
    </r>
    <r>
      <rPr>
        <vertAlign val="superscript"/>
        <sz val="10"/>
        <color theme="1"/>
        <rFont val="Tahoma"/>
        <family val="2"/>
        <charset val="204"/>
      </rPr>
      <t>4</t>
    </r>
  </si>
  <si>
    <r>
      <t xml:space="preserve">Platinum, (thousand ounces) </t>
    </r>
    <r>
      <rPr>
        <vertAlign val="superscript"/>
        <sz val="10"/>
        <color theme="1"/>
        <rFont val="Tahoma"/>
        <family val="2"/>
        <charset val="204"/>
      </rPr>
      <t>4</t>
    </r>
  </si>
  <si>
    <r>
      <t xml:space="preserve">Gold, (thousand ounces) </t>
    </r>
    <r>
      <rPr>
        <vertAlign val="superscript"/>
        <sz val="10"/>
        <color theme="1"/>
        <rFont val="Tahoma"/>
        <family val="2"/>
        <charset val="204"/>
      </rPr>
      <t>4</t>
    </r>
  </si>
  <si>
    <r>
      <t xml:space="preserve">Rhodium, (thousand ounces) </t>
    </r>
    <r>
      <rPr>
        <vertAlign val="superscript"/>
        <sz val="10"/>
        <color theme="1"/>
        <rFont val="Tahoma"/>
        <family val="2"/>
        <charset val="204"/>
      </rPr>
      <t>4</t>
    </r>
  </si>
  <si>
    <r>
      <rPr>
        <i/>
        <vertAlign val="superscript"/>
        <sz val="10"/>
        <color theme="1"/>
        <rFont val="Tahoma"/>
        <family val="2"/>
        <charset val="204"/>
      </rPr>
      <t>1</t>
    </r>
    <r>
      <rPr>
        <i/>
        <sz val="10"/>
        <color theme="1"/>
        <rFont val="Tahoma"/>
        <family val="2"/>
        <charset val="204"/>
      </rPr>
      <t xml:space="preserve"> All information is presented on the basis of 100% ownership of subsidiaries</t>
    </r>
    <r>
      <rPr>
        <i/>
        <vertAlign val="superscript"/>
        <sz val="10"/>
        <color theme="1"/>
        <rFont val="Calibri"/>
        <family val="2"/>
        <charset val="204"/>
        <scheme val="minor"/>
      </rPr>
      <t/>
    </r>
  </si>
  <si>
    <r>
      <rPr>
        <i/>
        <vertAlign val="superscript"/>
        <sz val="10"/>
        <color theme="1"/>
        <rFont val="Tahoma"/>
        <family val="2"/>
        <charset val="204"/>
      </rPr>
      <t>2</t>
    </r>
    <r>
      <rPr>
        <i/>
        <sz val="10"/>
        <color theme="1"/>
        <rFont val="Tahoma"/>
        <family val="2"/>
        <charset val="204"/>
      </rPr>
      <t xml:space="preserve"> Sales of metals purchased from third parties are excluded</t>
    </r>
  </si>
  <si>
    <r>
      <rPr>
        <i/>
        <vertAlign val="superscript"/>
        <sz val="10"/>
        <color theme="1"/>
        <rFont val="Tahoma"/>
        <family val="2"/>
        <charset val="204"/>
      </rPr>
      <t>3</t>
    </r>
    <r>
      <rPr>
        <i/>
        <sz val="10"/>
        <color theme="1"/>
        <rFont val="Tahoma"/>
        <family val="2"/>
        <charset val="204"/>
      </rPr>
      <t xml:space="preserve"> Excluding SouthAfrica. The operating results of Nkomati Nickel Mine (South Africa) are shown in the financial statements based on the Group’s 50% ownership and are presented as operating results of associate</t>
    </r>
  </si>
  <si>
    <r>
      <rPr>
        <i/>
        <vertAlign val="superscript"/>
        <sz val="10"/>
        <color theme="1"/>
        <rFont val="Tahoma"/>
        <family val="2"/>
        <charset val="204"/>
      </rPr>
      <t>4</t>
    </r>
    <r>
      <rPr>
        <i/>
        <sz val="10"/>
        <color theme="1"/>
        <rFont val="Tahoma"/>
        <family val="2"/>
        <charset val="204"/>
      </rPr>
      <t xml:space="preserve"> Totals may value from sum of numbers as a result of rounding</t>
    </r>
  </si>
  <si>
    <r>
      <rPr>
        <i/>
        <vertAlign val="superscript"/>
        <sz val="10"/>
        <color theme="1"/>
        <rFont val="Tahoma"/>
        <family val="2"/>
        <charset val="204"/>
      </rPr>
      <t>5</t>
    </r>
    <r>
      <rPr>
        <i/>
        <sz val="10"/>
        <color theme="1"/>
        <rFont val="Tahoma"/>
        <family val="2"/>
        <charset val="204"/>
      </rPr>
      <t xml:space="preserve"> Production results include processing of nickel concentrate from Tati, Nkomati and purchased materials </t>
    </r>
  </si>
  <si>
    <r>
      <rPr>
        <i/>
        <vertAlign val="superscript"/>
        <sz val="10"/>
        <color theme="1"/>
        <rFont val="Tahoma"/>
        <family val="2"/>
        <charset val="204"/>
      </rPr>
      <t>6</t>
    </r>
    <r>
      <rPr>
        <i/>
        <sz val="10"/>
        <color theme="1"/>
        <rFont val="Tahoma"/>
        <family val="2"/>
        <charset val="204"/>
      </rPr>
      <t xml:space="preserve"> Tolling operations are not included</t>
    </r>
  </si>
  <si>
    <t>Sale of own shares from treasury stock</t>
  </si>
  <si>
    <t>Proceeds from sale of non-controlling interest in a subsidiary</t>
  </si>
  <si>
    <t xml:space="preserve">Group GMK </t>
  </si>
  <si>
    <t xml:space="preserve">Group KGMK </t>
  </si>
  <si>
    <r>
      <rPr>
        <i/>
        <vertAlign val="superscript"/>
        <sz val="10"/>
        <color theme="1"/>
        <rFont val="Tahoma"/>
        <family val="2"/>
        <charset val="204"/>
      </rPr>
      <t xml:space="preserve">2 </t>
    </r>
    <r>
      <rPr>
        <i/>
        <sz val="10"/>
        <color theme="1"/>
        <rFont val="Tahoma"/>
        <family val="2"/>
        <charset val="204"/>
      </rPr>
      <t>Interest expenses has been capitalized from 2014</t>
    </r>
  </si>
  <si>
    <r>
      <rPr>
        <i/>
        <vertAlign val="superscript"/>
        <sz val="10"/>
        <color theme="1"/>
        <rFont val="Tahoma"/>
        <family val="2"/>
        <charset val="204"/>
      </rPr>
      <t xml:space="preserve">3 </t>
    </r>
    <r>
      <rPr>
        <i/>
        <sz val="10"/>
        <color theme="1"/>
        <rFont val="Tahoma"/>
        <family val="2"/>
        <charset val="204"/>
      </rPr>
      <t>Calculated as dividends declared for the financial year. Differs from the IFRS data as the calculation is based on the CBR's exchange rate as at the date of the Board of Directors' meeting</t>
    </r>
  </si>
  <si>
    <r>
      <t xml:space="preserve">Dividends declared for the period </t>
    </r>
    <r>
      <rPr>
        <vertAlign val="superscript"/>
        <sz val="10"/>
        <color theme="1"/>
        <rFont val="Tahoma"/>
        <family val="2"/>
        <charset val="204"/>
      </rPr>
      <t>3</t>
    </r>
  </si>
  <si>
    <t>1H 17</t>
  </si>
  <si>
    <t>As of 30.06.2017</t>
  </si>
  <si>
    <t>Change in provisions and allowances</t>
  </si>
  <si>
    <t>Proceeds from repayment of loans issued</t>
  </si>
  <si>
    <t>1H 17/           1H 16</t>
  </si>
  <si>
    <t>Talnakh Concentrator</t>
  </si>
  <si>
    <t>Net debt/12M EBITDA (x)</t>
  </si>
  <si>
    <t>Gross Debt/EBITDA 12M (х)</t>
  </si>
  <si>
    <t>1. Net working capital as of 31/12/2016 was normalized on one-off factors</t>
  </si>
  <si>
    <t>2. Net working capital doesn't include balances with derivative financial instruments.</t>
  </si>
  <si>
    <t>As of 31.12.2017</t>
  </si>
  <si>
    <t>Purchases of raw materials and semi-products</t>
  </si>
  <si>
    <t>Production costs related to joint operation</t>
  </si>
  <si>
    <t>Other current assets</t>
  </si>
  <si>
    <t>2017/            2016</t>
  </si>
  <si>
    <t>Purchases of metals for resale, raw materials and semi-products</t>
  </si>
  <si>
    <t>Total cash operating costs (Other entities)</t>
  </si>
  <si>
    <t xml:space="preserve">
Net profit before non-cash write-offs and foreign exchange differences</t>
  </si>
  <si>
    <r>
      <rPr>
        <i/>
        <vertAlign val="superscript"/>
        <sz val="8"/>
        <color theme="1"/>
        <rFont val="Tahoma"/>
        <family val="2"/>
        <charset val="204"/>
      </rPr>
      <t xml:space="preserve">1. </t>
    </r>
    <r>
      <rPr>
        <i/>
        <sz val="8"/>
        <color theme="1"/>
        <rFont val="Tahoma"/>
        <family val="2"/>
        <charset val="204"/>
      </rPr>
      <t>This document should be read in conjunction with the company's annual report and published consolidated financial statements in accordance with IFRS</t>
    </r>
  </si>
  <si>
    <t>GRK Bystrinskoye (Zabaykaisky Krai)</t>
  </si>
  <si>
    <t>Polar division</t>
  </si>
  <si>
    <t>Kola division</t>
  </si>
  <si>
    <t>Gold, thousand troy ounces</t>
  </si>
  <si>
    <t xml:space="preserve">Iron-ore concentrate, thousand tonnes </t>
  </si>
  <si>
    <t>ORE OUTRUT</t>
  </si>
  <si>
    <t>RECOVERY RATES</t>
  </si>
  <si>
    <t>1H 18</t>
  </si>
  <si>
    <t>As of 30.06.2018</t>
  </si>
  <si>
    <t>Other mining</t>
  </si>
  <si>
    <t>GRK Bystrinskoye</t>
  </si>
  <si>
    <t>1H 18/           1H 17</t>
  </si>
  <si>
    <t>Credit Ratings</t>
  </si>
  <si>
    <t>Purchases of refined metals for resale</t>
  </si>
  <si>
    <t>Norilsk Nickel Polar, Kola Divisions (Russia)</t>
  </si>
  <si>
    <t>including semi-products</t>
  </si>
  <si>
    <t>Other metallurgical</t>
  </si>
  <si>
    <t>Russia</t>
  </si>
  <si>
    <r>
      <t xml:space="preserve">SEMI-PRODUCTS </t>
    </r>
    <r>
      <rPr>
        <b/>
        <vertAlign val="superscript"/>
        <sz val="8.5"/>
        <color theme="1"/>
        <rFont val="Tahoma"/>
        <family val="2"/>
        <charset val="204"/>
      </rPr>
      <t>1</t>
    </r>
  </si>
  <si>
    <r>
      <t>Average realized prices of refined metals,  produced by the Group</t>
    </r>
    <r>
      <rPr>
        <b/>
        <vertAlign val="superscript"/>
        <sz val="10"/>
        <rFont val="Tahoma"/>
        <family val="2"/>
        <charset val="204"/>
      </rPr>
      <t xml:space="preserve"> </t>
    </r>
    <r>
      <rPr>
        <b/>
        <vertAlign val="superscript"/>
        <sz val="10"/>
        <color theme="0"/>
        <rFont val="Tahoma"/>
        <family val="2"/>
        <charset val="204"/>
      </rPr>
      <t>2, 3</t>
    </r>
  </si>
  <si>
    <r>
      <t xml:space="preserve">Semi-products, nickel, (thousand tonnes) </t>
    </r>
    <r>
      <rPr>
        <vertAlign val="superscript"/>
        <sz val="10"/>
        <color theme="1"/>
        <rFont val="Tahoma"/>
        <family val="2"/>
        <charset val="204"/>
      </rPr>
      <t>6</t>
    </r>
  </si>
  <si>
    <r>
      <t xml:space="preserve">Semi-products, palladium, (thousand troy ounces) </t>
    </r>
    <r>
      <rPr>
        <vertAlign val="superscript"/>
        <sz val="10"/>
        <color theme="1"/>
        <rFont val="Tahoma"/>
        <family val="2"/>
        <charset val="204"/>
      </rPr>
      <t>6</t>
    </r>
  </si>
  <si>
    <r>
      <t xml:space="preserve">Semi-products, platinum, (thousand troy ounces) </t>
    </r>
    <r>
      <rPr>
        <vertAlign val="superscript"/>
        <sz val="10"/>
        <color theme="1"/>
        <rFont val="Tahoma"/>
        <family val="2"/>
        <charset val="204"/>
      </rPr>
      <t>6</t>
    </r>
  </si>
  <si>
    <r>
      <t xml:space="preserve">Semi-products, gold, (thousand troy ounces) </t>
    </r>
    <r>
      <rPr>
        <vertAlign val="superscript"/>
        <sz val="10"/>
        <color theme="1"/>
        <rFont val="Tahoma"/>
        <family val="2"/>
        <charset val="204"/>
      </rPr>
      <t>6</t>
    </r>
  </si>
  <si>
    <r>
      <t xml:space="preserve">Semi-products, silver, (thousand troy ounces) </t>
    </r>
    <r>
      <rPr>
        <vertAlign val="superscript"/>
        <sz val="10"/>
        <color theme="1"/>
        <rFont val="Tahoma"/>
        <family val="2"/>
        <charset val="204"/>
      </rPr>
      <t>6</t>
    </r>
  </si>
  <si>
    <r>
      <rPr>
        <i/>
        <vertAlign val="superscript"/>
        <sz val="8.5"/>
        <color theme="1"/>
        <rFont val="Tahoma"/>
        <family val="2"/>
        <charset val="204"/>
      </rPr>
      <t>5</t>
    </r>
    <r>
      <rPr>
        <i/>
        <sz val="10"/>
        <color theme="1"/>
        <rFont val="Tahoma"/>
        <family val="2"/>
        <charset val="204"/>
      </rPr>
      <t xml:space="preserve"> Source: LME, LPPM</t>
    </r>
  </si>
  <si>
    <r>
      <rPr>
        <i/>
        <vertAlign val="superscript"/>
        <sz val="8.5"/>
        <color theme="1"/>
        <rFont val="Tahoma"/>
        <family val="2"/>
        <charset val="204"/>
      </rPr>
      <t>6</t>
    </r>
    <r>
      <rPr>
        <i/>
        <sz val="10"/>
        <color theme="1"/>
        <rFont val="Tahoma"/>
        <family val="2"/>
        <charset val="204"/>
      </rPr>
      <t xml:space="preserve"> Statements for 1H2014 and earlier do not include all effects of changes in presentation</t>
    </r>
  </si>
  <si>
    <t>FINISHED PRODUCTS</t>
  </si>
  <si>
    <r>
      <t>Annual average market prices</t>
    </r>
    <r>
      <rPr>
        <b/>
        <vertAlign val="superscript"/>
        <sz val="10"/>
        <color theme="0"/>
        <rFont val="Tahoma"/>
        <family val="2"/>
        <charset val="204"/>
      </rPr>
      <t xml:space="preserve"> 5</t>
    </r>
  </si>
  <si>
    <r>
      <rPr>
        <i/>
        <vertAlign val="superscript"/>
        <sz val="8.5"/>
        <color theme="1"/>
        <rFont val="Tahoma"/>
        <family val="2"/>
        <charset val="204"/>
      </rPr>
      <t>1</t>
    </r>
    <r>
      <rPr>
        <i/>
        <sz val="10"/>
        <color theme="1"/>
        <rFont val="Tahoma"/>
        <family val="2"/>
        <charset val="204"/>
      </rPr>
      <t xml:space="preserve"> The figures are reported based on the metals content in the products sold. All information is reported on the basis of 100% ownership of subsidiaries.</t>
    </r>
  </si>
  <si>
    <r>
      <t>South Africa</t>
    </r>
    <r>
      <rPr>
        <b/>
        <vertAlign val="superscript"/>
        <sz val="10"/>
        <color theme="1"/>
        <rFont val="Tahoma"/>
        <family val="2"/>
        <charset val="204"/>
      </rPr>
      <t>7</t>
    </r>
  </si>
  <si>
    <r>
      <t xml:space="preserve">TOTAL GROUP </t>
    </r>
    <r>
      <rPr>
        <b/>
        <vertAlign val="superscript"/>
        <sz val="8.5"/>
        <rFont val="Tahoma"/>
        <family val="2"/>
        <charset val="204"/>
      </rPr>
      <t>1,2</t>
    </r>
  </si>
  <si>
    <r>
      <rPr>
        <i/>
        <vertAlign val="superscript"/>
        <sz val="8.5"/>
        <color theme="1"/>
        <rFont val="Tahoma"/>
        <family val="2"/>
        <charset val="204"/>
      </rPr>
      <t>2</t>
    </r>
    <r>
      <rPr>
        <i/>
        <sz val="10"/>
        <color theme="1"/>
        <rFont val="Tahoma"/>
        <family val="2"/>
        <charset val="204"/>
      </rPr>
      <t xml:space="preserve"> Excluding sales of refined metals purchased from third parties.</t>
    </r>
  </si>
  <si>
    <r>
      <rPr>
        <i/>
        <vertAlign val="superscript"/>
        <sz val="8.5"/>
        <color theme="1"/>
        <rFont val="Tahoma"/>
        <family val="2"/>
        <charset val="204"/>
      </rPr>
      <t>3</t>
    </r>
    <r>
      <rPr>
        <i/>
        <sz val="10"/>
        <color theme="1"/>
        <rFont val="Tahoma"/>
        <family val="2"/>
        <charset val="204"/>
      </rPr>
      <t xml:space="preserve"> Data before 2015 year represents average realized prices of metals produced in Russia from own feed</t>
    </r>
  </si>
  <si>
    <r>
      <rPr>
        <i/>
        <vertAlign val="superscript"/>
        <sz val="10"/>
        <color theme="1"/>
        <rFont val="Tahoma"/>
        <family val="2"/>
        <charset val="204"/>
      </rPr>
      <t xml:space="preserve">3 </t>
    </r>
    <r>
      <rPr>
        <i/>
        <sz val="10"/>
        <color theme="1"/>
        <rFont val="Tahoma"/>
        <family val="2"/>
        <charset val="204"/>
      </rPr>
      <t>Interest expenses has been capitalized from 2014</t>
    </r>
  </si>
  <si>
    <r>
      <rPr>
        <i/>
        <vertAlign val="superscript"/>
        <sz val="10"/>
        <color theme="1"/>
        <rFont val="Tahoma"/>
        <family val="2"/>
        <charset val="204"/>
      </rPr>
      <t xml:space="preserve">2 </t>
    </r>
    <r>
      <rPr>
        <i/>
        <sz val="10"/>
        <color theme="1"/>
        <rFont val="Tahoma"/>
        <family val="2"/>
        <charset val="204"/>
      </rPr>
      <t>Revenue from semi-products for 1H2018 and 1H2017 is presented within the revenue from corresponding metals.</t>
    </r>
  </si>
  <si>
    <t>excluding:</t>
  </si>
  <si>
    <t>Baa2/Stable</t>
  </si>
  <si>
    <t xml:space="preserve"> NA</t>
  </si>
  <si>
    <t>Changes in fair value of non-current liabilities</t>
  </si>
  <si>
    <t>As of 31.12.2018</t>
  </si>
  <si>
    <t>2023+</t>
  </si>
  <si>
    <t>Sulphur project</t>
  </si>
  <si>
    <t>Other non-production assets</t>
  </si>
  <si>
    <t>Other production assets</t>
  </si>
  <si>
    <t>refined Ni from own Russian feed</t>
  </si>
  <si>
    <t>Ni in saleable concentrate from own Russian feed</t>
  </si>
  <si>
    <t>from Russian feed, including</t>
  </si>
  <si>
    <t>Cu cathodes from own Russian feed</t>
  </si>
  <si>
    <t>Cu in saleable concentrate from own Russian feed</t>
  </si>
  <si>
    <t>Impairment of available for sale investments including impairment losses reclassified from other comprehensive income</t>
  </si>
  <si>
    <t>Loss / gain for the year from discontinued operations</t>
  </si>
  <si>
    <t>Treasury shares</t>
  </si>
  <si>
    <t>Geographic breakdown</t>
  </si>
  <si>
    <t>Semi-products</t>
  </si>
  <si>
    <t>Marketing expenses</t>
  </si>
  <si>
    <t>Rent expenses</t>
  </si>
  <si>
    <t>Unwinding of discount on provisions and payables</t>
  </si>
  <si>
    <t>Acquisition of own shares from shareholders</t>
  </si>
  <si>
    <t>¹ Cash and committed credit lines (excluding project financing)</t>
  </si>
  <si>
    <r>
      <rPr>
        <i/>
        <vertAlign val="superscript"/>
        <sz val="10"/>
        <color theme="1"/>
        <rFont val="Tahoma"/>
        <family val="2"/>
        <charset val="204"/>
      </rPr>
      <t>7</t>
    </r>
    <r>
      <rPr>
        <i/>
        <sz val="10"/>
        <color theme="1"/>
        <rFont val="Tahoma"/>
        <family val="2"/>
        <charset val="204"/>
      </rPr>
      <t xml:space="preserve"> NNH was processing Lake Johnston nickel concentrate until the end of 2011</t>
    </r>
  </si>
  <si>
    <t>Nkomati (50%) nickel processed in the Company, tonnes</t>
  </si>
  <si>
    <t>Nkomati (50%) copper processed in the Company, tonnes</t>
  </si>
  <si>
    <t>Nkomati (50%) palladium processed in the Company, thousand troy ounces</t>
  </si>
  <si>
    <t>Nkomati (50%) platinum processed in the Company, thousand troy ounces</t>
  </si>
  <si>
    <t>Excess of the Group's share in the fair value of net assets acquired over the cost of acquisition</t>
  </si>
  <si>
    <t>2018/            2017</t>
  </si>
  <si>
    <t>NORILSK NICKEL GROUP ORE OUTPUT</t>
  </si>
  <si>
    <r>
      <t xml:space="preserve">TOTAL ORE OUTPUT (Polar Division &amp; Kola MMC), including </t>
    </r>
    <r>
      <rPr>
        <b/>
        <vertAlign val="superscript"/>
        <sz val="10"/>
        <color theme="1"/>
        <rFont val="Tahoma"/>
        <family val="2"/>
        <charset val="204"/>
      </rPr>
      <t>1</t>
    </r>
  </si>
  <si>
    <t>Rich ore, kt</t>
  </si>
  <si>
    <t>Cupreous ore, kt</t>
  </si>
  <si>
    <t>Disseminated ore, kt</t>
  </si>
  <si>
    <t xml:space="preserve"> ORE OUTPUT (Bistrinsky GOK , gold-copper-iron ore), kt</t>
  </si>
  <si>
    <t>RUSSIAN ASSETS</t>
  </si>
  <si>
    <t>POLAR DIVISION, kt</t>
  </si>
  <si>
    <t xml:space="preserve"> Oktyabrskoye Field, kt</t>
  </si>
  <si>
    <t xml:space="preserve">  Oktyabrsky mine, kt</t>
  </si>
  <si>
    <t xml:space="preserve">  Taimyrsky mine, kt</t>
  </si>
  <si>
    <t xml:space="preserve"> Talnakhskoye and Oktyabrskoye Fields, kt</t>
  </si>
  <si>
    <t xml:space="preserve">  Komsomolsky mine, kt*</t>
  </si>
  <si>
    <t xml:space="preserve">  Skalisty mine, kt**</t>
  </si>
  <si>
    <t xml:space="preserve">  Mayak mine, kt***</t>
  </si>
  <si>
    <t xml:space="preserve"> Norilsk-1 Deposit, kt****</t>
  </si>
  <si>
    <t>KOLA MMC, kt</t>
  </si>
  <si>
    <t xml:space="preserve"> Zhdanovskoye Field, kt</t>
  </si>
  <si>
    <t xml:space="preserve">  Severny open pit, kt</t>
  </si>
  <si>
    <t xml:space="preserve">  Severny underground, kt</t>
  </si>
  <si>
    <t xml:space="preserve"> Zapolyarnoye Field, kt</t>
  </si>
  <si>
    <t xml:space="preserve"> Kotselvaara and Semiletka Fields, kt</t>
  </si>
  <si>
    <t xml:space="preserve">  Kaula-Kotselvaara mine, kt</t>
  </si>
  <si>
    <t>BISTRINKY GOK, gold-copper-iron ore, kt</t>
  </si>
  <si>
    <t>Bistrinskoye Field, kt</t>
  </si>
  <si>
    <t>Verkhneildikansky open pit mine</t>
  </si>
  <si>
    <t>Bistrinsky-2 open pit mine</t>
  </si>
  <si>
    <r>
      <t>INTERNATIONAL ASSETS</t>
    </r>
    <r>
      <rPr>
        <b/>
        <vertAlign val="superscript"/>
        <sz val="10"/>
        <color theme="1"/>
        <rFont val="Tahoma"/>
        <family val="2"/>
        <charset val="204"/>
      </rPr>
      <t>2</t>
    </r>
  </si>
  <si>
    <t>NKOMATI (South Africa), kt</t>
  </si>
  <si>
    <t>AVERAGE MINED METAL GRADES</t>
  </si>
  <si>
    <t>NICKEL, %</t>
  </si>
  <si>
    <t xml:space="preserve">Polar Division  </t>
  </si>
  <si>
    <t>Nkomati (South Africa)</t>
  </si>
  <si>
    <t>COPPER, %</t>
  </si>
  <si>
    <t>PGM, g/t</t>
  </si>
  <si>
    <t>n/a</t>
  </si>
  <si>
    <r>
      <rPr>
        <i/>
        <vertAlign val="superscript"/>
        <sz val="9"/>
        <color theme="1"/>
        <rFont val="Tahoma"/>
        <family val="2"/>
        <charset val="204"/>
      </rPr>
      <t>1</t>
    </r>
    <r>
      <rPr>
        <i/>
        <sz val="9"/>
        <color theme="1"/>
        <rFont val="Tahoma"/>
        <family val="2"/>
        <charset val="204"/>
      </rPr>
      <t xml:space="preserve"> The aggregate figures "Totals" are based on 100% ownership of subsidiaries and may value from the sum of numbers as a result of rounding. 
The performance indicators of Nkomati are based on the Group's 50% stake and production performance is not reflected in totals of Norilsk Nickel Group.
Rich ores are characterised by a higher content of non-ferrous and precious metals; cupreous ores are characterised by a higher copper content vs nickel; disseminated ores are characterised by a lower metal content.</t>
    </r>
  </si>
  <si>
    <r>
      <rPr>
        <i/>
        <vertAlign val="superscript"/>
        <sz val="9"/>
        <color theme="1"/>
        <rFont val="Tahoma"/>
        <family val="2"/>
        <charset val="204"/>
      </rPr>
      <t>2</t>
    </r>
    <r>
      <rPr>
        <i/>
        <sz val="9"/>
        <color theme="1"/>
        <rFont val="Tahoma"/>
        <family val="2"/>
        <charset val="204"/>
      </rPr>
      <t xml:space="preserve">  International assets of Norilsk Nickel Group include Norilsk Nickel Harjavalta in Finland (100% stake), Nkomati in South Africa (50% stake) and a licence to develop Honeymoon Well Project in Australia. 
All other foreign assets were sold.</t>
    </r>
  </si>
  <si>
    <t>* In 2010, the Talnakh Mining Administration was transformed into Komsomolsky mine.</t>
  </si>
  <si>
    <t>*** In 2013–2014, part of Komsomolsky mine. In 2015, Mayak mine was spun off from Komsomolsky mine.</t>
  </si>
  <si>
    <t>**** In 2010, the Norilsk-1 Mining Administration was transformed into Zapolyarny mine. Medvezhy Ruchey mine was integrated into Zapolyarny mine as Zapolyarny open pit. 
On 14 July 2017, Zapolyarny mine became a standalone unit of Medvezhy Ruchey.</t>
  </si>
  <si>
    <t xml:space="preserve">METALS RECOVERY </t>
  </si>
  <si>
    <t>METALS RECOVERY IN CONCENTRATION</t>
  </si>
  <si>
    <t xml:space="preserve">Polar Division </t>
  </si>
  <si>
    <t>PGM, %</t>
  </si>
  <si>
    <t>METALS RECOVERY IN SMELTING</t>
  </si>
  <si>
    <t>Polar Division (from raw materials to finished products)</t>
  </si>
  <si>
    <t>Kola MMC (from raw materials to matte)</t>
  </si>
  <si>
    <t>Kola MMC  (from matte to finished products)</t>
  </si>
  <si>
    <t>Нarjavalta (Finland) (from matte to finished products)</t>
  </si>
  <si>
    <t xml:space="preserve">Kola MMC </t>
  </si>
  <si>
    <t>Нarjavalta (Finland)</t>
  </si>
  <si>
    <t xml:space="preserve">Ore
kt
</t>
  </si>
  <si>
    <t>Metal grade</t>
  </si>
  <si>
    <t>Contained metal</t>
  </si>
  <si>
    <t>Ni 
%</t>
  </si>
  <si>
    <t>Cu 
%</t>
  </si>
  <si>
    <t>Pd
g/t</t>
  </si>
  <si>
    <t>Pt
g/t</t>
  </si>
  <si>
    <t>Au
g/t</t>
  </si>
  <si>
    <t>6 PGM
g/t</t>
  </si>
  <si>
    <t>Ni
kt</t>
  </si>
  <si>
    <t>Cu
kt</t>
  </si>
  <si>
    <t>Pd
koz</t>
  </si>
  <si>
    <t>Pt
koz</t>
  </si>
  <si>
    <t>Au
koz</t>
  </si>
  <si>
    <t>6 PGM
koz</t>
  </si>
  <si>
    <t>TAIMYR PENINSULA</t>
  </si>
  <si>
    <t>Proven and probable reserves</t>
  </si>
  <si>
    <t>Proven reserves</t>
  </si>
  <si>
    <t>Talnakh ore field, including</t>
  </si>
  <si>
    <t>Norilsk-1 deposit (disseminated ore)</t>
  </si>
  <si>
    <t>Probable reserves</t>
  </si>
  <si>
    <t>Measured and indicated resources</t>
  </si>
  <si>
    <t>Inferred resources</t>
  </si>
  <si>
    <t>Talnakh ore field</t>
  </si>
  <si>
    <t>KOLA PENINSULA (disseminated ore)</t>
  </si>
  <si>
    <t>Proven ore reserves</t>
  </si>
  <si>
    <t>TOTAL RUSSIAN ASSETS</t>
  </si>
  <si>
    <t>TOTAL RUSSIAN AND INTERNATIONAL ASSETS</t>
  </si>
  <si>
    <t>Ore
kt</t>
  </si>
  <si>
    <t>Co
%</t>
  </si>
  <si>
    <t>4 PGM
g/t</t>
  </si>
  <si>
    <t>Co
kt</t>
  </si>
  <si>
    <t>4 PGM
koz</t>
  </si>
  <si>
    <t>** In 2018, Skalisty mine was spin off from Komsomolsky mine.</t>
  </si>
  <si>
    <t>1H 19</t>
  </si>
  <si>
    <t>Other current liabilities</t>
  </si>
  <si>
    <t>As of 30.06.2019</t>
  </si>
  <si>
    <t>6M 2019</t>
  </si>
  <si>
    <r>
      <rPr>
        <i/>
        <vertAlign val="superscript"/>
        <sz val="10"/>
        <color theme="1"/>
        <rFont val="Tahoma"/>
        <family val="2"/>
        <charset val="204"/>
      </rPr>
      <t>7</t>
    </r>
    <r>
      <rPr>
        <i/>
        <sz val="10"/>
        <color theme="1"/>
        <rFont val="Tahoma"/>
        <family val="2"/>
        <charset val="204"/>
      </rPr>
      <t xml:space="preserve"> Data for 1H2017 and after doesn't include sales of metals purchased from Nkomati</t>
    </r>
  </si>
  <si>
    <r>
      <rPr>
        <i/>
        <vertAlign val="superscript"/>
        <sz val="8.5"/>
        <color theme="1"/>
        <rFont val="Tahoma"/>
        <family val="2"/>
        <charset val="204"/>
      </rPr>
      <t xml:space="preserve">4  </t>
    </r>
    <r>
      <rPr>
        <i/>
        <sz val="8.5"/>
        <color theme="1"/>
        <rFont val="Tahoma"/>
        <family val="2"/>
        <charset val="204"/>
      </rPr>
      <t>M</t>
    </r>
    <r>
      <rPr>
        <i/>
        <sz val="10"/>
        <color theme="1"/>
        <rFont val="Tahoma"/>
        <family val="2"/>
        <charset val="204"/>
      </rPr>
      <t>etal volumes for 1H2017 and after represent metals contained in semi-products and refined metals</t>
    </r>
  </si>
  <si>
    <t>Interest expense, net of amounts capitalised </t>
  </si>
  <si>
    <t>Other, net</t>
  </si>
  <si>
    <t>Lease liabilities</t>
  </si>
  <si>
    <t xml:space="preserve">Structure of cash operating costs </t>
  </si>
  <si>
    <r>
      <t>3</t>
    </r>
    <r>
      <rPr>
        <i/>
        <sz val="10"/>
        <color rgb="FF000000"/>
        <rFont val="Tahoma"/>
        <family val="2"/>
        <charset val="204"/>
      </rPr>
      <t xml:space="preserve"> Data for 1H2019 and after includes debt repayment under lease agreements</t>
    </r>
  </si>
  <si>
    <t>1H 19/           1H 18</t>
  </si>
  <si>
    <t>Other operating income/(expenses), net</t>
  </si>
  <si>
    <t>Foreign exchange gain/(loss), net</t>
  </si>
  <si>
    <t>Profit for the period</t>
  </si>
  <si>
    <t>Translation reserve</t>
  </si>
  <si>
    <t>Liabilities associated with assets classified as held for sale</t>
  </si>
  <si>
    <t>Foreign exchange (gain)/loss, net</t>
  </si>
  <si>
    <t>Interest and other investment income received</t>
  </si>
  <si>
    <t>Payments of lease liabilities</t>
  </si>
  <si>
    <t>Net cash (used in)/generated from financing activities</t>
  </si>
  <si>
    <t>Cash and cash equivalents at the beginning of the period</t>
  </si>
  <si>
    <t>Cash and cash equivalents at the end of the period</t>
  </si>
  <si>
    <t>Other Polar Division projects</t>
  </si>
  <si>
    <r>
      <t xml:space="preserve">Copper, (thousand tonnes) </t>
    </r>
    <r>
      <rPr>
        <vertAlign val="superscript"/>
        <sz val="10"/>
        <color theme="1"/>
        <rFont val="Tahoma"/>
        <family val="2"/>
        <charset val="204"/>
      </rPr>
      <t>4</t>
    </r>
    <r>
      <rPr>
        <sz val="10"/>
        <color theme="1"/>
        <rFont val="Tahoma"/>
        <family val="2"/>
        <charset val="204"/>
      </rPr>
      <t xml:space="preserve"> </t>
    </r>
  </si>
  <si>
    <r>
      <t xml:space="preserve">Nickel, (thousand tonnes) </t>
    </r>
    <r>
      <rPr>
        <vertAlign val="superscript"/>
        <sz val="10"/>
        <color theme="1"/>
        <rFont val="Tahoma"/>
        <family val="2"/>
        <charset val="204"/>
      </rPr>
      <t>4</t>
    </r>
    <r>
      <rPr>
        <sz val="10"/>
        <color theme="1"/>
        <rFont val="Tahoma"/>
        <family val="2"/>
        <charset val="204"/>
      </rPr>
      <t xml:space="preserve"> </t>
    </r>
  </si>
  <si>
    <r>
      <t xml:space="preserve">Cobalt, (thousand tonnes) </t>
    </r>
    <r>
      <rPr>
        <vertAlign val="superscript"/>
        <sz val="10"/>
        <color theme="1"/>
        <rFont val="Tahoma"/>
        <family val="2"/>
        <charset val="204"/>
      </rPr>
      <t>4</t>
    </r>
    <r>
      <rPr>
        <sz val="10"/>
        <color theme="1"/>
        <rFont val="Tahoma"/>
        <family val="2"/>
        <charset val="204"/>
      </rPr>
      <t xml:space="preserve"> </t>
    </r>
  </si>
  <si>
    <r>
      <t xml:space="preserve">Silver, (thousand ounces) </t>
    </r>
    <r>
      <rPr>
        <vertAlign val="superscript"/>
        <sz val="10"/>
        <color theme="1"/>
        <rFont val="Tahoma"/>
        <family val="2"/>
        <charset val="204"/>
      </rPr>
      <t>4</t>
    </r>
    <r>
      <rPr>
        <sz val="10"/>
        <color theme="1"/>
        <rFont val="Tahoma"/>
        <family val="2"/>
        <charset val="204"/>
      </rPr>
      <t xml:space="preserve"> </t>
    </r>
  </si>
  <si>
    <r>
      <t xml:space="preserve">Semi-products, copper, (thousand tonnes) </t>
    </r>
    <r>
      <rPr>
        <vertAlign val="superscript"/>
        <sz val="10"/>
        <color theme="1"/>
        <rFont val="Tahoma"/>
        <family val="2"/>
        <charset val="204"/>
      </rPr>
      <t>6</t>
    </r>
    <r>
      <rPr>
        <sz val="10"/>
        <color theme="1"/>
        <rFont val="Tahoma"/>
        <family val="2"/>
        <charset val="204"/>
      </rPr>
      <t xml:space="preserve"> </t>
    </r>
  </si>
  <si>
    <r>
      <t xml:space="preserve">Nickel (thousand tonnes) </t>
    </r>
    <r>
      <rPr>
        <vertAlign val="superscript"/>
        <sz val="10"/>
        <color theme="1"/>
        <rFont val="Tahoma"/>
        <family val="2"/>
        <charset val="204"/>
      </rPr>
      <t>7</t>
    </r>
  </si>
  <si>
    <r>
      <t xml:space="preserve">Copper (thousand tonnes) </t>
    </r>
    <r>
      <rPr>
        <vertAlign val="superscript"/>
        <sz val="10"/>
        <color theme="1"/>
        <rFont val="Tahoma"/>
        <family val="2"/>
        <charset val="204"/>
      </rPr>
      <t>7</t>
    </r>
  </si>
  <si>
    <r>
      <t xml:space="preserve">Palladium (thousand ounces) </t>
    </r>
    <r>
      <rPr>
        <vertAlign val="superscript"/>
        <sz val="10"/>
        <color theme="1"/>
        <rFont val="Tahoma"/>
        <family val="2"/>
        <charset val="204"/>
      </rPr>
      <t>7</t>
    </r>
  </si>
  <si>
    <r>
      <t xml:space="preserve">Platinum (thousand ounces) </t>
    </r>
    <r>
      <rPr>
        <vertAlign val="superscript"/>
        <sz val="10"/>
        <color theme="1"/>
        <rFont val="Tahoma"/>
        <family val="2"/>
        <charset val="204"/>
      </rPr>
      <t>7</t>
    </r>
  </si>
  <si>
    <r>
      <t xml:space="preserve">Palladium (thousand ounces) </t>
    </r>
    <r>
      <rPr>
        <vertAlign val="superscript"/>
        <sz val="10"/>
        <color theme="1"/>
        <rFont val="Tahoma"/>
        <family val="2"/>
        <charset val="204"/>
      </rPr>
      <t>7</t>
    </r>
    <r>
      <rPr>
        <sz val="10"/>
        <color theme="1"/>
        <rFont val="Tahoma"/>
        <family val="2"/>
        <charset val="204"/>
      </rPr>
      <t xml:space="preserve">  </t>
    </r>
  </si>
  <si>
    <r>
      <t xml:space="preserve">Norilsk Nickel Finland </t>
    </r>
    <r>
      <rPr>
        <b/>
        <vertAlign val="superscript"/>
        <sz val="10"/>
        <color theme="1"/>
        <rFont val="Tahoma"/>
        <family val="2"/>
        <charset val="204"/>
      </rPr>
      <t>5</t>
    </r>
  </si>
  <si>
    <r>
      <t xml:space="preserve">Nickel,  tonnes </t>
    </r>
    <r>
      <rPr>
        <vertAlign val="superscript"/>
        <sz val="10"/>
        <color theme="1"/>
        <rFont val="Tahoma"/>
        <family val="2"/>
        <charset val="204"/>
      </rPr>
      <t>6</t>
    </r>
  </si>
  <si>
    <r>
      <t xml:space="preserve">Nickel in concentrate, tonnes </t>
    </r>
    <r>
      <rPr>
        <vertAlign val="superscript"/>
        <sz val="10"/>
        <color theme="1"/>
        <rFont val="Tahoma"/>
        <family val="2"/>
        <charset val="204"/>
      </rPr>
      <t>7</t>
    </r>
  </si>
  <si>
    <r>
      <t xml:space="preserve">TOTAL METAL PRODUCTION </t>
    </r>
    <r>
      <rPr>
        <b/>
        <vertAlign val="superscript"/>
        <sz val="10"/>
        <color theme="1"/>
        <rFont val="Tahoma"/>
        <family val="2"/>
        <charset val="204"/>
      </rPr>
      <t>1,2,3,4</t>
    </r>
  </si>
  <si>
    <r>
      <t xml:space="preserve">Geographic breakdown </t>
    </r>
    <r>
      <rPr>
        <b/>
        <vertAlign val="superscript"/>
        <sz val="10"/>
        <rFont val="Tahoma"/>
        <family val="2"/>
        <charset val="204"/>
      </rPr>
      <t>1</t>
    </r>
    <r>
      <rPr>
        <b/>
        <sz val="10"/>
        <rFont val="Tahoma"/>
        <family val="2"/>
        <charset val="204"/>
      </rPr>
      <t xml:space="preserve"> </t>
    </r>
  </si>
  <si>
    <r>
      <t xml:space="preserve">Breakdown of metal sales </t>
    </r>
    <r>
      <rPr>
        <b/>
        <vertAlign val="superscript"/>
        <sz val="10"/>
        <color theme="1"/>
        <rFont val="Tahoma"/>
        <family val="2"/>
        <charset val="204"/>
      </rPr>
      <t>2</t>
    </r>
  </si>
  <si>
    <r>
      <t xml:space="preserve">Nickel </t>
    </r>
    <r>
      <rPr>
        <vertAlign val="superscript"/>
        <sz val="10"/>
        <color theme="1"/>
        <rFont val="Tahoma"/>
        <family val="2"/>
        <charset val="204"/>
      </rPr>
      <t>2</t>
    </r>
  </si>
  <si>
    <r>
      <t xml:space="preserve">Copper </t>
    </r>
    <r>
      <rPr>
        <vertAlign val="superscript"/>
        <sz val="10"/>
        <color theme="1"/>
        <rFont val="Tahoma"/>
        <family val="2"/>
        <charset val="204"/>
      </rPr>
      <t>2</t>
    </r>
  </si>
  <si>
    <r>
      <t xml:space="preserve">Palladium </t>
    </r>
    <r>
      <rPr>
        <vertAlign val="superscript"/>
        <sz val="10"/>
        <color theme="1"/>
        <rFont val="Tahoma"/>
        <family val="2"/>
        <charset val="204"/>
      </rPr>
      <t>2</t>
    </r>
  </si>
  <si>
    <r>
      <t xml:space="preserve">Platinum </t>
    </r>
    <r>
      <rPr>
        <vertAlign val="superscript"/>
        <sz val="10"/>
        <color theme="1"/>
        <rFont val="Tahoma"/>
        <family val="2"/>
        <charset val="204"/>
      </rPr>
      <t>2</t>
    </r>
  </si>
  <si>
    <r>
      <t xml:space="preserve">Semiproducts </t>
    </r>
    <r>
      <rPr>
        <vertAlign val="superscript"/>
        <sz val="8.5"/>
        <color theme="1"/>
        <rFont val="Tahoma"/>
        <family val="2"/>
        <charset val="204"/>
      </rPr>
      <t>2</t>
    </r>
  </si>
  <si>
    <r>
      <t xml:space="preserve">Other metals </t>
    </r>
    <r>
      <rPr>
        <vertAlign val="superscript"/>
        <sz val="10"/>
        <color theme="1"/>
        <rFont val="Tahoma"/>
        <family val="2"/>
        <charset val="204"/>
      </rPr>
      <t>2</t>
    </r>
  </si>
  <si>
    <r>
      <t xml:space="preserve">Finance costs, net </t>
    </r>
    <r>
      <rPr>
        <vertAlign val="superscript"/>
        <sz val="10"/>
        <color theme="1"/>
        <rFont val="Tahoma"/>
        <family val="2"/>
        <charset val="204"/>
      </rPr>
      <t>3</t>
    </r>
  </si>
  <si>
    <r>
      <t xml:space="preserve">INCOME STATEMENT </t>
    </r>
    <r>
      <rPr>
        <b/>
        <vertAlign val="superscript"/>
        <sz val="10"/>
        <color theme="0"/>
        <rFont val="Tahoma"/>
        <family val="2"/>
        <charset val="204"/>
      </rPr>
      <t>1</t>
    </r>
    <r>
      <rPr>
        <b/>
        <sz val="10"/>
        <color theme="0"/>
        <rFont val="Tahoma"/>
        <family val="2"/>
        <charset val="204"/>
      </rPr>
      <t xml:space="preserve"> </t>
    </r>
  </si>
  <si>
    <r>
      <t xml:space="preserve">SELECTED FINANCIAL RATIOS </t>
    </r>
    <r>
      <rPr>
        <b/>
        <vertAlign val="superscript"/>
        <sz val="10"/>
        <color theme="0"/>
        <rFont val="Tahoma"/>
        <family val="2"/>
        <charset val="204"/>
      </rPr>
      <t>1</t>
    </r>
  </si>
  <si>
    <r>
      <rPr>
        <i/>
        <vertAlign val="superscript"/>
        <sz val="10"/>
        <color theme="1"/>
        <rFont val="Tahoma"/>
        <family val="2"/>
        <charset val="204"/>
      </rPr>
      <t>1</t>
    </r>
    <r>
      <rPr>
        <i/>
        <sz val="10"/>
        <color theme="1"/>
        <rFont val="Tahoma"/>
        <family val="2"/>
        <charset val="204"/>
      </rPr>
      <t xml:space="preserve"> Statements for 2013 and earlier do not include all effects of changes of accounting estimates</t>
    </r>
  </si>
  <si>
    <r>
      <t xml:space="preserve">Metal Sales </t>
    </r>
    <r>
      <rPr>
        <b/>
        <vertAlign val="superscript"/>
        <sz val="10"/>
        <rFont val="Tahoma"/>
        <family val="2"/>
        <charset val="204"/>
      </rPr>
      <t>1,3</t>
    </r>
  </si>
  <si>
    <r>
      <rPr>
        <i/>
        <vertAlign val="superscript"/>
        <sz val="10"/>
        <color theme="1"/>
        <rFont val="Tahoma"/>
        <family val="2"/>
        <charset val="204"/>
      </rPr>
      <t>3</t>
    </r>
    <r>
      <rPr>
        <i/>
        <sz val="10"/>
        <color theme="1"/>
        <rFont val="Tahoma"/>
        <family val="2"/>
        <charset val="204"/>
      </rPr>
      <t xml:space="preserve"> Revenue from semi-products for 1H2018 and 1H2017 is presented within revenue from corresponding metals.</t>
    </r>
  </si>
  <si>
    <r>
      <t xml:space="preserve">COST OF SALES </t>
    </r>
    <r>
      <rPr>
        <b/>
        <vertAlign val="superscript"/>
        <sz val="10"/>
        <color theme="0"/>
        <rFont val="Tahoma"/>
        <family val="2"/>
        <charset val="204"/>
      </rPr>
      <t>1</t>
    </r>
  </si>
  <si>
    <r>
      <t xml:space="preserve">Less:sales of by-products </t>
    </r>
    <r>
      <rPr>
        <vertAlign val="superscript"/>
        <sz val="10"/>
        <color theme="1"/>
        <rFont val="Tahoma"/>
        <family val="2"/>
        <charset val="204"/>
      </rPr>
      <t>2</t>
    </r>
  </si>
  <si>
    <r>
      <t xml:space="preserve">COST OF METAL SALES </t>
    </r>
    <r>
      <rPr>
        <b/>
        <vertAlign val="superscript"/>
        <sz val="10"/>
        <color theme="0"/>
        <rFont val="Tahoma"/>
        <family val="2"/>
        <charset val="204"/>
      </rPr>
      <t>1</t>
    </r>
  </si>
  <si>
    <r>
      <t xml:space="preserve">Revenue from sale of by-product metals </t>
    </r>
    <r>
      <rPr>
        <vertAlign val="superscript"/>
        <sz val="10"/>
        <color theme="1"/>
        <rFont val="Tahoma"/>
        <family val="2"/>
        <charset val="204"/>
      </rPr>
      <t>2</t>
    </r>
  </si>
  <si>
    <r>
      <t xml:space="preserve">CONSOLIDATED BALANCE SHEET </t>
    </r>
    <r>
      <rPr>
        <b/>
        <vertAlign val="superscript"/>
        <sz val="10"/>
        <color theme="0"/>
        <rFont val="Tahoma"/>
        <family val="2"/>
        <charset val="204"/>
      </rPr>
      <t>1</t>
    </r>
  </si>
  <si>
    <r>
      <t xml:space="preserve">CONSOLIDATED STATEMENT OF CASH FLOWS </t>
    </r>
    <r>
      <rPr>
        <b/>
        <vertAlign val="superscript"/>
        <sz val="10"/>
        <color theme="0"/>
        <rFont val="Tahoma"/>
        <family val="2"/>
        <charset val="204"/>
      </rPr>
      <t>1</t>
    </r>
  </si>
  <si>
    <r>
      <t xml:space="preserve">Interest paid </t>
    </r>
    <r>
      <rPr>
        <vertAlign val="superscript"/>
        <sz val="10"/>
        <color theme="1"/>
        <rFont val="Tahoma"/>
        <family val="2"/>
        <charset val="204"/>
      </rPr>
      <t>2</t>
    </r>
  </si>
  <si>
    <r>
      <t xml:space="preserve">Normalized working capital </t>
    </r>
    <r>
      <rPr>
        <b/>
        <vertAlign val="superscript"/>
        <sz val="10"/>
        <color theme="1"/>
        <rFont val="Tahoma"/>
        <family val="2"/>
        <charset val="204"/>
      </rPr>
      <t>1</t>
    </r>
  </si>
  <si>
    <r>
      <t xml:space="preserve">Trade and other payables </t>
    </r>
    <r>
      <rPr>
        <vertAlign val="superscript"/>
        <sz val="10"/>
        <color theme="1"/>
        <rFont val="Tahoma"/>
        <family val="2"/>
        <charset val="204"/>
      </rPr>
      <t>2</t>
    </r>
  </si>
  <si>
    <r>
      <t xml:space="preserve">Liqudity </t>
    </r>
    <r>
      <rPr>
        <vertAlign val="superscript"/>
        <sz val="10"/>
        <color theme="1"/>
        <rFont val="Tahoma"/>
        <family val="2"/>
        <charset val="204"/>
      </rPr>
      <t>1</t>
    </r>
  </si>
  <si>
    <r>
      <t xml:space="preserve">Lease liabilities </t>
    </r>
    <r>
      <rPr>
        <vertAlign val="superscript"/>
        <sz val="10"/>
        <color theme="1"/>
        <rFont val="Tahoma"/>
        <family val="2"/>
        <charset val="204"/>
      </rPr>
      <t>3</t>
    </r>
  </si>
  <si>
    <r>
      <t xml:space="preserve">Total Debt </t>
    </r>
    <r>
      <rPr>
        <b/>
        <vertAlign val="superscript"/>
        <sz val="10"/>
        <color theme="1"/>
        <rFont val="Tahoma"/>
        <family val="2"/>
        <charset val="204"/>
      </rPr>
      <t>2</t>
    </r>
  </si>
  <si>
    <r>
      <t xml:space="preserve">Debt Repayment Schedule, USD bln </t>
    </r>
    <r>
      <rPr>
        <b/>
        <vertAlign val="superscript"/>
        <sz val="10"/>
        <color theme="0"/>
        <rFont val="Tahoma"/>
        <family val="2"/>
        <charset val="204"/>
      </rPr>
      <t>3</t>
    </r>
  </si>
  <si>
    <r>
      <t xml:space="preserve">NORILSK NICKEL FINANCIAL AND OPERATING RESULTS </t>
    </r>
    <r>
      <rPr>
        <b/>
        <vertAlign val="superscript"/>
        <sz val="10"/>
        <color theme="1"/>
        <rFont val="Tahoma"/>
        <family val="2"/>
        <charset val="204"/>
      </rPr>
      <t>1</t>
    </r>
  </si>
  <si>
    <t>Finance Costs, net</t>
  </si>
  <si>
    <t>Total finance costs, net</t>
  </si>
  <si>
    <t>Fair value gain on the cross-currency interest rate swap</t>
  </si>
  <si>
    <r>
      <t xml:space="preserve">MINERALS RESERVES AND RESOURCES 
as of DECEMBER 31, 2018 </t>
    </r>
    <r>
      <rPr>
        <b/>
        <vertAlign val="superscript"/>
        <sz val="10"/>
        <color theme="0"/>
        <rFont val="Tahoma"/>
        <family val="2"/>
        <charset val="204"/>
      </rPr>
      <t>1</t>
    </r>
  </si>
  <si>
    <t>rich</t>
  </si>
  <si>
    <t>cuprous</t>
  </si>
  <si>
    <t>disseminated</t>
  </si>
  <si>
    <t>AUSTRALIA (Honeymoon Well)</t>
  </si>
  <si>
    <t>Measured and indicated resources (nickel sulfide ores)</t>
  </si>
  <si>
    <t>Inferred resources (nickel sulfide ores)</t>
  </si>
  <si>
    <t>Inferred resources (nickel laterite ores)</t>
  </si>
  <si>
    <t>TOTAL PROVEN AND PROBABLE RESERVES</t>
  </si>
  <si>
    <t>TOTAL MEASURED AND INDICATED RESOURCES</t>
  </si>
  <si>
    <t>TOTAL INFERRED RESOURCES</t>
  </si>
  <si>
    <r>
      <t xml:space="preserve">MINERAL RESERVES AND RESOURCES
as of June 30, 2018 </t>
    </r>
    <r>
      <rPr>
        <b/>
        <vertAlign val="superscript"/>
        <sz val="10"/>
        <color theme="0"/>
        <rFont val="Tahoma"/>
        <family val="2"/>
        <charset val="204"/>
      </rPr>
      <t>2</t>
    </r>
  </si>
  <si>
    <t xml:space="preserve">SOUTH AFRICA (NKOMATI) </t>
  </si>
  <si>
    <t xml:space="preserve"> Data regarding the reserves and resources is based on the balance-sheet reserves of A, B, С1 and С2, categories (according to the terminology of the State Committee for Mineral Reserves) as of the end of the given calendar year.</t>
  </si>
  <si>
    <t>Figures given as "Total" may differ from the sum of individual numbers due to rounding. Certain values may in some instances vary slightly from previously published values.</t>
  </si>
  <si>
    <t>The six platinum group metals (PGMs) are platinum, palladium, rhodium, ruthenium, osmium, and iridium. Hereafter in the annual report, troy ounces are used as a weight measure for PGMs and gold.</t>
  </si>
  <si>
    <t>Proven and probable ore reserves are included in mineral resources.</t>
  </si>
  <si>
    <t>Ore losses applied ranged from 1.6 % to 26% and dilution from 6% to 31.9%.</t>
  </si>
  <si>
    <t>Excluding deposits in Zabaykalsky Region.</t>
  </si>
  <si>
    <t xml:space="preserve"> MINERAL RESERVES AND RESOURCES</t>
  </si>
  <si>
    <r>
      <rPr>
        <b/>
        <vertAlign val="superscript"/>
        <sz val="9"/>
        <color theme="1"/>
        <rFont val="Tahoma"/>
        <family val="2"/>
        <charset val="204"/>
      </rPr>
      <t>1</t>
    </r>
    <r>
      <rPr>
        <i/>
        <sz val="9"/>
        <color theme="1"/>
        <rFont val="Tahoma"/>
        <family val="2"/>
        <charset val="204"/>
      </rPr>
      <t xml:space="preserve">  Data regarding the mineral resources and ore reserves of the deposits of the Taimyr and Kola peninsulas were classified according to the Australasian Code for Reporting of Mineral Resources and Ore Reserves (JORC code), created by the Australasian Institute of Mining and Metallurgy, the Australian Institute of Geoscientists, and the Minerals Council of Australia, subject to the terminology recommended by the Russian Code for Public Reporting of Exploration Results, Mineral Resources, Mineral Reserves (NAEN Code).</t>
    </r>
  </si>
  <si>
    <r>
      <rPr>
        <b/>
        <i/>
        <vertAlign val="superscript"/>
        <sz val="9"/>
        <color theme="1"/>
        <rFont val="Tahoma"/>
        <family val="2"/>
        <charset val="204"/>
      </rPr>
      <t>2</t>
    </r>
    <r>
      <rPr>
        <i/>
        <sz val="9"/>
        <color theme="1"/>
        <rFont val="Tahoma"/>
        <family val="2"/>
        <charset val="204"/>
      </rPr>
      <t xml:space="preserve"> The Company owns 50% of Nkomati, a nickel mine developed jointly with African Rainbow Minerals. Nkomati's performance is reflected in financial results using prorata consolidation and are not included in other Group’s total amounts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</si>
</sst>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3" formatCode="_(* #,##0.00_);_(* \(#,##0.00\);_(* &quot;-&quot;??_);_(@_)"/>
    <numFmt numFmtId="164" formatCode="_-* #,##0.00\ _₽_-;\-* #,##0.00\ _₽_-;_-* &quot;-&quot;??\ _₽_-;_-@_-"/>
    <numFmt numFmtId="165" formatCode="_(#,##0,_);\(#,##0,\);_(* &quot;-&quot;_);_(@_)"/>
    <numFmt numFmtId="166" formatCode="0.0"/>
    <numFmt numFmtId="167" formatCode="#,##0.0_);[Red]\(#,##0.0\)"/>
    <numFmt numFmtId="168" formatCode="_(* #,##0_);_(* \(#,##0\);_(* &quot;-&quot;??_);_(@_)"/>
    <numFmt numFmtId="169" formatCode="0_);[Red]\(0\)"/>
    <numFmt numFmtId="170" formatCode="_(* #,##0.0_);_(* \(#,##0.0\);_(* &quot;-&quot;??_);_(@_)"/>
    <numFmt numFmtId="171" formatCode="_-* #,##0_р_._-;\-* #,##0_р_._-;_-* &quot;-&quot;??_р_._-;_-@_-"/>
    <numFmt numFmtId="172" formatCode="_(* #,##0.000_);_(* \(#,##0.000\);_(* &quot;-&quot;??_);_(@_)"/>
    <numFmt numFmtId="173" formatCode="#,##0.0"/>
    <numFmt numFmtId="174" formatCode="_-* #,##0.0_р_._-;\-* #,##0.0_р_._-;_-* &quot;-&quot;??_р_._-;_-@_-"/>
    <numFmt numFmtId="175" formatCode="#,##0.000000_);[Red]\(#,##0.000000\)"/>
    <numFmt numFmtId="176" formatCode="0.000E+00"/>
    <numFmt numFmtId="177" formatCode="0.0%"/>
    <numFmt numFmtId="178" formatCode="_-* #,##0.000_р_._-;\-* #,##0.000_р_._-;_-* &quot;-&quot;??_р_._-;_-@_-"/>
    <numFmt numFmtId="179" formatCode="###,000"/>
    <numFmt numFmtId="180" formatCode="#,##0.0_р_.;[Red]\-#,##0.0_р_."/>
    <numFmt numFmtId="181" formatCode="0.000%"/>
    <numFmt numFmtId="182" formatCode="#,##0.0\ _₽;[Red]\-#,##0.0\ _₽"/>
    <numFmt numFmtId="183" formatCode="_-* #,##0.0\ _₽_-;\-* #,##0.0\ _₽_-;_-* &quot;-&quot;?\ _₽_-;_-@_-"/>
    <numFmt numFmtId="184" formatCode="_-* #,##0.00_р_._-;\-* #,##0.00_р_._-;_-* &quot;-&quot;??_р_._-;_-@_-"/>
    <numFmt numFmtId="185" formatCode="_-* #,##0.00_-;\-* #,##0.00_-;_-* &quot;-&quot;??_-;_-@_-"/>
    <numFmt numFmtId="186" formatCode="_-* #,##0.000\ _₽_-;\-* #,##0.000\ _₽_-;_-* &quot;-&quot;?\ _₽_-;_-@_-"/>
  </numFmts>
  <fonts count="7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scheme val="minor"/>
    </font>
    <font>
      <u/>
      <sz val="11"/>
      <color theme="10"/>
      <name val="Calibri"/>
      <family val="2"/>
      <scheme val="minor"/>
    </font>
    <font>
      <b/>
      <sz val="11"/>
      <color theme="0"/>
      <name val="Calibri"/>
      <family val="2"/>
      <charset val="204"/>
      <scheme val="minor"/>
    </font>
    <font>
      <b/>
      <sz val="11"/>
      <color theme="1"/>
      <name val="Calibri"/>
      <family val="2"/>
      <charset val="204"/>
      <scheme val="minor"/>
    </font>
    <font>
      <i/>
      <vertAlign val="superscript"/>
      <sz val="10"/>
      <color theme="1"/>
      <name val="Calibri"/>
      <family val="2"/>
      <charset val="204"/>
      <scheme val="minor"/>
    </font>
    <font>
      <sz val="10"/>
      <name val="Arial"/>
      <family val="2"/>
    </font>
    <font>
      <b/>
      <sz val="8"/>
      <color rgb="FF1F497D"/>
      <name val="Verdana"/>
      <family val="2"/>
      <charset val="204"/>
    </font>
    <font>
      <sz val="8"/>
      <color rgb="FF1F497D"/>
      <name val="Verdana"/>
      <family val="2"/>
      <charset val="204"/>
    </font>
    <font>
      <sz val="8"/>
      <color rgb="FF000000"/>
      <name val="Verdana"/>
      <family val="2"/>
      <charset val="204"/>
    </font>
    <font>
      <b/>
      <sz val="8"/>
      <color rgb="FF00CC00"/>
      <name val="Verdana"/>
      <family val="2"/>
      <charset val="204"/>
    </font>
    <font>
      <b/>
      <sz val="8"/>
      <color rgb="FF33CC33"/>
      <name val="Verdana"/>
      <family val="2"/>
      <charset val="204"/>
    </font>
    <font>
      <b/>
      <sz val="8"/>
      <color rgb="FFFF9900"/>
      <name val="Verdana"/>
      <family val="2"/>
      <charset val="204"/>
    </font>
    <font>
      <b/>
      <sz val="8"/>
      <color rgb="FFFF0000"/>
      <name val="Verdana"/>
      <family val="2"/>
      <charset val="204"/>
    </font>
    <font>
      <sz val="8"/>
      <color rgb="FF000000"/>
      <name val="Arial"/>
      <family val="2"/>
      <charset val="204"/>
    </font>
    <font>
      <i/>
      <sz val="8"/>
      <color rgb="FF000000"/>
      <name val="Verdana"/>
      <family val="2"/>
      <charset val="204"/>
    </font>
    <font>
      <b/>
      <i/>
      <sz val="8"/>
      <color rgb="FF000000"/>
      <name val="Verdana"/>
      <family val="2"/>
      <charset val="204"/>
    </font>
    <font>
      <b/>
      <i/>
      <sz val="8"/>
      <color rgb="FF1F497D"/>
      <name val="Verdana"/>
      <family val="2"/>
      <charset val="204"/>
    </font>
    <font>
      <i/>
      <sz val="8"/>
      <color rgb="FF1F497D"/>
      <name val="Verdana"/>
      <family val="2"/>
      <charset val="204"/>
    </font>
    <font>
      <b/>
      <sz val="10"/>
      <color theme="1"/>
      <name val="Tahoma"/>
      <family val="2"/>
      <charset val="204"/>
    </font>
    <font>
      <i/>
      <sz val="10"/>
      <color theme="1"/>
      <name val="Tahoma"/>
      <family val="2"/>
      <charset val="204"/>
    </font>
    <font>
      <sz val="10"/>
      <color theme="1"/>
      <name val="Tahoma"/>
      <family val="2"/>
      <charset val="204"/>
    </font>
    <font>
      <u/>
      <sz val="10"/>
      <color theme="10"/>
      <name val="Tahoma"/>
      <family val="2"/>
      <charset val="204"/>
    </font>
    <font>
      <sz val="10"/>
      <color rgb="FFFF0000"/>
      <name val="Tahoma"/>
      <family val="2"/>
      <charset val="204"/>
    </font>
    <font>
      <i/>
      <vertAlign val="superscript"/>
      <sz val="10"/>
      <color theme="1"/>
      <name val="Tahoma"/>
      <family val="2"/>
      <charset val="204"/>
    </font>
    <font>
      <b/>
      <sz val="10"/>
      <color theme="0"/>
      <name val="Tahoma"/>
      <family val="2"/>
      <charset val="204"/>
    </font>
    <font>
      <b/>
      <vertAlign val="superscript"/>
      <sz val="10"/>
      <color theme="0"/>
      <name val="Tahoma"/>
      <family val="2"/>
      <charset val="204"/>
    </font>
    <font>
      <b/>
      <u/>
      <sz val="10"/>
      <name val="Tahoma"/>
      <family val="2"/>
      <charset val="204"/>
    </font>
    <font>
      <vertAlign val="superscript"/>
      <sz val="10"/>
      <color theme="1"/>
      <name val="Tahoma"/>
      <family val="2"/>
      <charset val="204"/>
    </font>
    <font>
      <b/>
      <sz val="10"/>
      <name val="Tahoma"/>
      <family val="2"/>
      <charset val="204"/>
    </font>
    <font>
      <sz val="10"/>
      <name val="Tahoma"/>
      <family val="2"/>
      <charset val="204"/>
    </font>
    <font>
      <sz val="10"/>
      <color theme="0"/>
      <name val="Tahoma"/>
      <family val="2"/>
      <charset val="204"/>
    </font>
    <font>
      <b/>
      <i/>
      <sz val="10"/>
      <color theme="1"/>
      <name val="Tahoma"/>
      <family val="2"/>
      <charset val="204"/>
    </font>
    <font>
      <b/>
      <vertAlign val="superscript"/>
      <sz val="10"/>
      <color theme="1"/>
      <name val="Tahoma"/>
      <family val="2"/>
      <charset val="204"/>
    </font>
    <font>
      <i/>
      <vertAlign val="superscript"/>
      <sz val="10"/>
      <color rgb="FF000000"/>
      <name val="Tahoma"/>
      <family val="2"/>
      <charset val="204"/>
    </font>
    <font>
      <i/>
      <sz val="10"/>
      <color rgb="FF000000"/>
      <name val="Tahoma"/>
      <family val="2"/>
      <charset val="204"/>
    </font>
    <font>
      <i/>
      <sz val="10"/>
      <color rgb="FFFF0000"/>
      <name val="Tahoma"/>
      <family val="2"/>
      <charset val="204"/>
    </font>
    <font>
      <b/>
      <vertAlign val="superscript"/>
      <sz val="10"/>
      <name val="Tahoma"/>
      <family val="2"/>
      <charset val="204"/>
    </font>
    <font>
      <b/>
      <i/>
      <sz val="10"/>
      <name val="Tahoma"/>
      <family val="2"/>
      <charset val="204"/>
    </font>
    <font>
      <i/>
      <sz val="10"/>
      <name val="Tahoma"/>
      <family val="2"/>
      <charset val="204"/>
    </font>
    <font>
      <i/>
      <sz val="8"/>
      <color theme="1"/>
      <name val="Tahoma"/>
      <family val="2"/>
      <charset val="204"/>
    </font>
    <font>
      <i/>
      <vertAlign val="superscript"/>
      <sz val="8.5"/>
      <color theme="1"/>
      <name val="Tahoma"/>
      <family val="2"/>
      <charset val="204"/>
    </font>
    <font>
      <sz val="11"/>
      <color rgb="FF1F497D"/>
      <name val="Calibri"/>
      <family val="2"/>
      <charset val="204"/>
      <scheme val="minor"/>
    </font>
    <font>
      <i/>
      <vertAlign val="superscript"/>
      <sz val="8"/>
      <color theme="1"/>
      <name val="Tahoma"/>
      <family val="2"/>
      <charset val="204"/>
    </font>
    <font>
      <b/>
      <sz val="11"/>
      <name val="Calibri"/>
      <family val="2"/>
      <charset val="204"/>
      <scheme val="minor"/>
    </font>
    <font>
      <vertAlign val="superscript"/>
      <sz val="8.5"/>
      <color theme="1"/>
      <name val="Tahoma"/>
      <family val="2"/>
      <charset val="204"/>
    </font>
    <font>
      <b/>
      <vertAlign val="superscript"/>
      <sz val="8.5"/>
      <name val="Tahoma"/>
      <family val="2"/>
      <charset val="204"/>
    </font>
    <font>
      <b/>
      <vertAlign val="superscript"/>
      <sz val="8.5"/>
      <color theme="1"/>
      <name val="Tahoma"/>
      <family val="2"/>
      <charset val="204"/>
    </font>
    <font>
      <i/>
      <sz val="8.5"/>
      <color theme="1"/>
      <name val="Tahoma"/>
      <family val="2"/>
      <charset val="204"/>
    </font>
    <font>
      <sz val="10"/>
      <name val="Arial Cyr"/>
      <charset val="204"/>
    </font>
    <font>
      <sz val="10"/>
      <name val="Arial"/>
      <family val="2"/>
      <charset val="204"/>
    </font>
    <font>
      <sz val="8"/>
      <color theme="1"/>
      <name val="Arial"/>
      <family val="2"/>
      <charset val="204"/>
    </font>
    <font>
      <sz val="12"/>
      <color theme="1"/>
      <name val="Times New Roman"/>
      <family val="2"/>
      <charset val="204"/>
    </font>
    <font>
      <b/>
      <sz val="11"/>
      <color indexed="9"/>
      <name val="Calibri"/>
      <family val="2"/>
    </font>
    <font>
      <sz val="10"/>
      <color rgb="FF000000"/>
      <name val="Tahoma"/>
      <family val="2"/>
      <charset val="204"/>
    </font>
    <font>
      <b/>
      <sz val="9"/>
      <color theme="1"/>
      <name val="Tahoma"/>
      <family val="2"/>
      <charset val="204"/>
    </font>
    <font>
      <sz val="9"/>
      <color theme="1"/>
      <name val="Tahoma"/>
      <family val="2"/>
      <charset val="204"/>
    </font>
    <font>
      <i/>
      <sz val="9"/>
      <color theme="1"/>
      <name val="Tahoma"/>
      <family val="2"/>
      <charset val="204"/>
    </font>
    <font>
      <i/>
      <vertAlign val="superscript"/>
      <sz val="9"/>
      <color theme="1"/>
      <name val="Tahoma"/>
      <family val="2"/>
      <charset val="204"/>
    </font>
    <font>
      <b/>
      <u/>
      <sz val="10"/>
      <color theme="1"/>
      <name val="Tahoma"/>
      <family val="2"/>
      <charset val="204"/>
    </font>
    <font>
      <u/>
      <sz val="10"/>
      <name val="Tahoma"/>
      <family val="2"/>
      <charset val="204"/>
    </font>
    <font>
      <sz val="11"/>
      <color indexed="8"/>
      <name val="Calibri"/>
      <family val="2"/>
      <charset val="204"/>
    </font>
    <font>
      <i/>
      <sz val="11"/>
      <color theme="1"/>
      <name val="Calibri"/>
      <family val="2"/>
      <charset val="204"/>
      <scheme val="minor"/>
    </font>
    <font>
      <b/>
      <sz val="10"/>
      <color indexed="8"/>
      <name val="Tahoma"/>
      <family val="2"/>
      <charset val="204"/>
    </font>
    <font>
      <b/>
      <i/>
      <sz val="9"/>
      <color theme="1"/>
      <name val="Tahoma"/>
      <family val="2"/>
      <charset val="204"/>
    </font>
    <font>
      <b/>
      <vertAlign val="superscript"/>
      <sz val="9"/>
      <color theme="1"/>
      <name val="Tahoma"/>
      <family val="2"/>
      <charset val="204"/>
    </font>
    <font>
      <b/>
      <i/>
      <vertAlign val="superscript"/>
      <sz val="9"/>
      <color theme="1"/>
      <name val="Tahoma"/>
      <family val="2"/>
      <charset val="204"/>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236CB0"/>
        <bgColor indexed="64"/>
      </patternFill>
    </fill>
    <fill>
      <patternFill patternType="solid">
        <fgColor theme="4"/>
        <bgColor indexed="64"/>
      </patternFill>
    </fill>
    <fill>
      <patternFill patternType="solid">
        <fgColor rgb="FFFFFFFF"/>
        <bgColor rgb="FF000000"/>
      </patternFill>
    </fill>
    <fill>
      <patternFill patternType="solid">
        <fgColor rgb="FFDBE5F1"/>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9"/>
        <bgColor indexed="64"/>
      </patternFill>
    </fill>
    <fill>
      <patternFill patternType="solid">
        <fgColor rgb="FF4F81BD"/>
        <bgColor indexed="64"/>
      </patternFill>
    </fill>
    <fill>
      <patternFill patternType="solid">
        <fgColor theme="4" tint="-0.249977111117893"/>
        <bgColor indexed="64"/>
      </patternFill>
    </fill>
    <fill>
      <patternFill patternType="solid">
        <fgColor rgb="FF4981BF"/>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auto="1"/>
      </right>
      <top style="medium">
        <color auto="1"/>
      </top>
      <bottom style="medium">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hair">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auto="1"/>
      </right>
      <top style="thin">
        <color auto="1"/>
      </top>
      <bottom style="thin">
        <color auto="1"/>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double">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auto="1"/>
      </top>
      <bottom style="thin">
        <color indexed="64"/>
      </bottom>
      <diagonal/>
    </border>
    <border>
      <left/>
      <right style="double">
        <color indexed="64"/>
      </right>
      <top style="thin">
        <color auto="1"/>
      </top>
      <bottom/>
      <diagonal/>
    </border>
  </borders>
  <cellStyleXfs count="280">
    <xf numFmtId="0" fontId="0" fillId="0" borderId="0"/>
    <xf numFmtId="9" fontId="9" fillId="0" borderId="0" applyFont="0" applyFill="0" applyBorder="0" applyAlignment="0" applyProtection="0"/>
    <xf numFmtId="0" fontId="11" fillId="0" borderId="0" applyNumberFormat="0" applyFill="0" applyBorder="0" applyAlignment="0" applyProtection="0"/>
    <xf numFmtId="0" fontId="10" fillId="0" borderId="0"/>
    <xf numFmtId="0" fontId="9" fillId="0" borderId="0"/>
    <xf numFmtId="0" fontId="9" fillId="0" borderId="0"/>
    <xf numFmtId="0" fontId="9" fillId="0" borderId="0"/>
    <xf numFmtId="0" fontId="10" fillId="0" borderId="0"/>
    <xf numFmtId="0" fontId="15" fillId="0" borderId="0"/>
    <xf numFmtId="0" fontId="10" fillId="0" borderId="0"/>
    <xf numFmtId="43" fontId="9" fillId="0" borderId="0" applyFont="0" applyFill="0" applyBorder="0" applyAlignment="0" applyProtection="0"/>
    <xf numFmtId="0" fontId="15" fillId="0" borderId="0"/>
    <xf numFmtId="0" fontId="9"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43" fontId="7" fillId="0" borderId="0" applyFont="0" applyFill="0" applyBorder="0" applyAlignment="0" applyProtection="0"/>
    <xf numFmtId="0" fontId="16" fillId="7" borderId="10" applyNumberFormat="0" applyAlignment="0" applyProtection="0">
      <alignment horizontal="left" vertical="center" indent="1"/>
    </xf>
    <xf numFmtId="179" fontId="17" fillId="0" borderId="11" applyNumberFormat="0" applyProtection="0">
      <alignment horizontal="right" vertical="center"/>
    </xf>
    <xf numFmtId="179" fontId="16" fillId="0" borderId="12" applyNumberFormat="0" applyProtection="0">
      <alignment horizontal="right" vertical="center"/>
    </xf>
    <xf numFmtId="0" fontId="18" fillId="6" borderId="12" applyNumberFormat="0" applyAlignment="0" applyProtection="0">
      <alignment horizontal="left" vertical="center" indent="1"/>
    </xf>
    <xf numFmtId="0" fontId="18" fillId="8" borderId="12" applyNumberFormat="0" applyAlignment="0" applyProtection="0">
      <alignment horizontal="left" vertical="center" indent="1"/>
    </xf>
    <xf numFmtId="179" fontId="17" fillId="9" borderId="11" applyNumberFormat="0" applyBorder="0" applyProtection="0">
      <alignment horizontal="right" vertical="center"/>
    </xf>
    <xf numFmtId="0" fontId="18" fillId="6" borderId="12" applyNumberFormat="0" applyAlignment="0" applyProtection="0">
      <alignment horizontal="left" vertical="center" indent="1"/>
    </xf>
    <xf numFmtId="179" fontId="16" fillId="8" borderId="12" applyNumberFormat="0" applyProtection="0">
      <alignment horizontal="right" vertical="center"/>
    </xf>
    <xf numFmtId="179" fontId="16" fillId="9" borderId="12" applyNumberFormat="0" applyBorder="0" applyProtection="0">
      <alignment horizontal="right" vertical="center"/>
    </xf>
    <xf numFmtId="179" fontId="19" fillId="10" borderId="13" applyNumberFormat="0" applyBorder="0" applyAlignment="0" applyProtection="0">
      <alignment horizontal="right" vertical="center" indent="1"/>
    </xf>
    <xf numFmtId="179" fontId="20" fillId="11" borderId="13" applyNumberFormat="0" applyBorder="0" applyAlignment="0" applyProtection="0">
      <alignment horizontal="right" vertical="center" indent="1"/>
    </xf>
    <xf numFmtId="179" fontId="20" fillId="12" borderId="13" applyNumberFormat="0" applyBorder="0" applyAlignment="0" applyProtection="0">
      <alignment horizontal="right" vertical="center" indent="1"/>
    </xf>
    <xf numFmtId="179" fontId="21" fillId="13" borderId="13" applyNumberFormat="0" applyBorder="0" applyAlignment="0" applyProtection="0">
      <alignment horizontal="right" vertical="center" indent="1"/>
    </xf>
    <xf numFmtId="179" fontId="21" fillId="14" borderId="13" applyNumberFormat="0" applyBorder="0" applyAlignment="0" applyProtection="0">
      <alignment horizontal="right" vertical="center" indent="1"/>
    </xf>
    <xf numFmtId="179" fontId="21" fillId="15" borderId="13" applyNumberFormat="0" applyBorder="0" applyAlignment="0" applyProtection="0">
      <alignment horizontal="right" vertical="center" indent="1"/>
    </xf>
    <xf numFmtId="179" fontId="22" fillId="16" borderId="13" applyNumberFormat="0" applyBorder="0" applyAlignment="0" applyProtection="0">
      <alignment horizontal="right" vertical="center" indent="1"/>
    </xf>
    <xf numFmtId="179" fontId="22" fillId="17" borderId="13" applyNumberFormat="0" applyBorder="0" applyAlignment="0" applyProtection="0">
      <alignment horizontal="right" vertical="center" indent="1"/>
    </xf>
    <xf numFmtId="179" fontId="22" fillId="18" borderId="13" applyNumberFormat="0" applyBorder="0" applyAlignment="0" applyProtection="0">
      <alignment horizontal="right" vertical="center" indent="1"/>
    </xf>
    <xf numFmtId="0" fontId="23" fillId="0" borderId="10" applyNumberFormat="0" applyFont="0" applyFill="0" applyAlignment="0" applyProtection="0"/>
    <xf numFmtId="179" fontId="17" fillId="19" borderId="10" applyNumberFormat="0" applyAlignment="0" applyProtection="0">
      <alignment horizontal="left" vertical="center" indent="1"/>
    </xf>
    <xf numFmtId="0" fontId="16" fillId="7" borderId="12" applyNumberFormat="0" applyAlignment="0" applyProtection="0">
      <alignment horizontal="left" vertical="center" indent="1"/>
    </xf>
    <xf numFmtId="0" fontId="18" fillId="20" borderId="10" applyNumberFormat="0" applyAlignment="0" applyProtection="0">
      <alignment horizontal="left" vertical="center" indent="1"/>
    </xf>
    <xf numFmtId="0" fontId="18" fillId="21" borderId="10" applyNumberFormat="0" applyAlignment="0" applyProtection="0">
      <alignment horizontal="left" vertical="center" indent="1"/>
    </xf>
    <xf numFmtId="0" fontId="18" fillId="22" borderId="10" applyNumberFormat="0" applyAlignment="0" applyProtection="0">
      <alignment horizontal="left" vertical="center" indent="1"/>
    </xf>
    <xf numFmtId="0" fontId="18" fillId="9" borderId="10" applyNumberFormat="0" applyAlignment="0" applyProtection="0">
      <alignment horizontal="left" vertical="center" indent="1"/>
    </xf>
    <xf numFmtId="0" fontId="18" fillId="8" borderId="12" applyNumberFormat="0" applyAlignment="0" applyProtection="0">
      <alignment horizontal="left" vertical="center" indent="1"/>
    </xf>
    <xf numFmtId="0" fontId="24" fillId="0" borderId="14" applyNumberFormat="0" applyFill="0" applyBorder="0" applyAlignment="0" applyProtection="0"/>
    <xf numFmtId="0" fontId="25" fillId="0" borderId="14" applyNumberFormat="0" applyBorder="0" applyAlignment="0" applyProtection="0"/>
    <xf numFmtId="0" fontId="24" fillId="6" borderId="12" applyNumberFormat="0" applyAlignment="0" applyProtection="0">
      <alignment horizontal="left" vertical="center" indent="1"/>
    </xf>
    <xf numFmtId="0" fontId="24" fillId="6" borderId="12" applyNumberFormat="0" applyAlignment="0" applyProtection="0">
      <alignment horizontal="left" vertical="center" indent="1"/>
    </xf>
    <xf numFmtId="0" fontId="24" fillId="8" borderId="12" applyNumberFormat="0" applyAlignment="0" applyProtection="0">
      <alignment horizontal="left" vertical="center" indent="1"/>
    </xf>
    <xf numFmtId="179" fontId="26" fillId="8" borderId="12" applyNumberFormat="0" applyProtection="0">
      <alignment horizontal="right" vertical="center"/>
    </xf>
    <xf numFmtId="179" fontId="27" fillId="9" borderId="11" applyNumberFormat="0" applyBorder="0" applyProtection="0">
      <alignment horizontal="right" vertical="center"/>
    </xf>
    <xf numFmtId="179" fontId="26" fillId="9" borderId="12" applyNumberFormat="0" applyBorder="0" applyProtection="0">
      <alignment horizontal="right" vertical="center"/>
    </xf>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9" fontId="17" fillId="19" borderId="10" applyNumberFormat="0" applyAlignment="0" applyProtection="0">
      <alignment horizontal="left" vertical="center" indent="1"/>
    </xf>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58" fillId="0" borderId="0"/>
    <xf numFmtId="9" fontId="58" fillId="0" borderId="0" applyFont="0" applyFill="0" applyBorder="0" applyAlignment="0" applyProtection="0"/>
    <xf numFmtId="0" fontId="58" fillId="0" borderId="0"/>
    <xf numFmtId="184" fontId="9" fillId="0" borderId="0" applyFont="0" applyFill="0" applyBorder="0" applyAlignment="0" applyProtection="0"/>
    <xf numFmtId="9" fontId="58" fillId="0" borderId="0" applyFont="0" applyFill="0" applyBorder="0" applyAlignment="0" applyProtection="0"/>
    <xf numFmtId="0" fontId="3" fillId="0" borderId="0"/>
    <xf numFmtId="9" fontId="3" fillId="0" borderId="0" applyFont="0" applyFill="0" applyBorder="0" applyAlignment="0" applyProtection="0"/>
    <xf numFmtId="0" fontId="59" fillId="0" borderId="0"/>
    <xf numFmtId="9" fontId="15" fillId="0" borderId="0" applyFont="0" applyFill="0" applyBorder="0" applyAlignment="0" applyProtection="0"/>
    <xf numFmtId="0" fontId="15" fillId="23" borderId="26" applyNumberFormat="0" applyFont="0" applyAlignment="0" applyProtection="0"/>
    <xf numFmtId="0" fontId="58" fillId="0" borderId="0"/>
    <xf numFmtId="184" fontId="59" fillId="0" borderId="0" applyFont="0" applyFill="0" applyBorder="0" applyAlignment="0" applyProtection="0"/>
    <xf numFmtId="184" fontId="58"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18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164" fontId="3" fillId="0" borderId="0" applyFont="0" applyFill="0" applyBorder="0" applyAlignment="0" applyProtection="0"/>
    <xf numFmtId="164" fontId="3" fillId="0" borderId="0" applyFont="0" applyFill="0" applyBorder="0" applyAlignment="0" applyProtection="0"/>
    <xf numFmtId="9" fontId="58" fillId="0" borderId="0" applyFont="0" applyFill="0" applyBorder="0" applyAlignment="0" applyProtection="0"/>
    <xf numFmtId="0" fontId="60" fillId="0" borderId="0"/>
    <xf numFmtId="184" fontId="61" fillId="0" borderId="0" applyFont="0" applyFill="0" applyBorder="0" applyAlignment="0" applyProtection="0"/>
    <xf numFmtId="0" fontId="61" fillId="0" borderId="0"/>
    <xf numFmtId="9" fontId="61" fillId="0" borderId="0" applyFont="0" applyFill="0" applyBorder="0" applyAlignment="0" applyProtection="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9" fontId="58"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58" fillId="0" borderId="0"/>
    <xf numFmtId="184" fontId="58" fillId="0" borderId="0" applyFont="0" applyFill="0" applyBorder="0" applyAlignment="0" applyProtection="0"/>
    <xf numFmtId="0" fontId="3" fillId="0" borderId="0"/>
    <xf numFmtId="164" fontId="58" fillId="0" borderId="0" applyFont="0" applyFill="0" applyBorder="0" applyAlignment="0" applyProtection="0"/>
    <xf numFmtId="185" fontId="59" fillId="0" borderId="0" applyFont="0" applyFill="0" applyBorder="0" applyAlignment="0" applyProtection="0"/>
    <xf numFmtId="0" fontId="62" fillId="24" borderId="0"/>
    <xf numFmtId="43" fontId="2" fillId="0" borderId="0" applyFont="0" applyFill="0" applyBorder="0" applyAlignment="0" applyProtection="0"/>
    <xf numFmtId="0" fontId="70"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51">
    <xf numFmtId="0" fontId="0" fillId="0" borderId="0" xfId="0"/>
    <xf numFmtId="38" fontId="13" fillId="0" borderId="6" xfId="0" applyNumberFormat="1" applyFont="1" applyFill="1" applyBorder="1" applyAlignment="1">
      <alignment horizontal="right" wrapText="1"/>
    </xf>
    <xf numFmtId="0" fontId="28" fillId="2" borderId="0" xfId="0" applyFont="1" applyFill="1"/>
    <xf numFmtId="0" fontId="30" fillId="2" borderId="0" xfId="0" applyFont="1" applyFill="1"/>
    <xf numFmtId="0" fontId="28" fillId="2" borderId="0" xfId="0" applyFont="1" applyFill="1" applyAlignment="1">
      <alignment horizontal="left"/>
    </xf>
    <xf numFmtId="0" fontId="28" fillId="2" borderId="0" xfId="0" applyFont="1" applyFill="1" applyAlignment="1"/>
    <xf numFmtId="0" fontId="30" fillId="2" borderId="0" xfId="0" applyFont="1" applyFill="1" applyBorder="1" applyAlignment="1">
      <alignment horizontal="left"/>
    </xf>
    <xf numFmtId="0" fontId="30" fillId="2" borderId="0" xfId="0" applyFont="1" applyFill="1" applyBorder="1" applyAlignment="1"/>
    <xf numFmtId="0" fontId="30" fillId="2" borderId="1" xfId="0" applyFont="1" applyFill="1" applyBorder="1"/>
    <xf numFmtId="0" fontId="30" fillId="2" borderId="2" xfId="0" applyFont="1" applyFill="1" applyBorder="1"/>
    <xf numFmtId="0" fontId="30" fillId="2" borderId="3" xfId="0" applyFont="1" applyFill="1" applyBorder="1" applyAlignment="1">
      <alignment horizontal="right"/>
    </xf>
    <xf numFmtId="0" fontId="31" fillId="2" borderId="1" xfId="2" applyFont="1" applyFill="1" applyBorder="1"/>
    <xf numFmtId="0" fontId="32" fillId="2" borderId="0" xfId="0" applyFont="1" applyFill="1"/>
    <xf numFmtId="38" fontId="30" fillId="5" borderId="0" xfId="0" applyNumberFormat="1" applyFont="1" applyFill="1" applyBorder="1" applyAlignment="1">
      <alignment horizontal="right" wrapText="1"/>
    </xf>
    <xf numFmtId="0" fontId="29" fillId="0" borderId="0" xfId="0" applyFont="1" applyFill="1" applyBorder="1" applyAlignment="1">
      <alignment wrapText="1"/>
    </xf>
    <xf numFmtId="0" fontId="28" fillId="0" borderId="0" xfId="0" applyFont="1"/>
    <xf numFmtId="0" fontId="29" fillId="0" borderId="0" xfId="0" applyFont="1" applyFill="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38" fontId="30" fillId="0" borderId="0" xfId="0" applyNumberFormat="1" applyFont="1" applyAlignment="1">
      <alignment horizontal="center" vertical="center"/>
    </xf>
    <xf numFmtId="0" fontId="30" fillId="0" borderId="0" xfId="0" applyFont="1" applyAlignment="1">
      <alignment vertical="center"/>
    </xf>
    <xf numFmtId="0" fontId="34" fillId="4" borderId="6" xfId="0" applyFont="1" applyFill="1" applyBorder="1" applyAlignment="1">
      <alignment horizontal="center"/>
    </xf>
    <xf numFmtId="0" fontId="30" fillId="0" borderId="0" xfId="0" applyFont="1"/>
    <xf numFmtId="0" fontId="34" fillId="4" borderId="7" xfId="0" applyFont="1" applyFill="1" applyBorder="1" applyAlignment="1">
      <alignment horizontal="right" vertical="center" wrapText="1"/>
    </xf>
    <xf numFmtId="0" fontId="36" fillId="0" borderId="9" xfId="0" applyFont="1" applyFill="1" applyBorder="1" applyAlignment="1">
      <alignment horizontal="center" wrapText="1"/>
    </xf>
    <xf numFmtId="0" fontId="30" fillId="0" borderId="0" xfId="0" applyFont="1" applyAlignment="1">
      <alignment wrapText="1"/>
    </xf>
    <xf numFmtId="0" fontId="30" fillId="0" borderId="0" xfId="0" applyFont="1" applyBorder="1" applyAlignment="1">
      <alignment wrapText="1"/>
    </xf>
    <xf numFmtId="38" fontId="30" fillId="0" borderId="0" xfId="0" applyNumberFormat="1" applyFont="1" applyBorder="1" applyAlignment="1">
      <alignment horizontal="right" wrapText="1"/>
    </xf>
    <xf numFmtId="38" fontId="30" fillId="0" borderId="0" xfId="0" applyNumberFormat="1" applyFont="1" applyFill="1" applyBorder="1" applyAlignment="1">
      <alignment horizontal="right" wrapText="1"/>
    </xf>
    <xf numFmtId="9" fontId="29" fillId="0" borderId="0" xfId="1" applyFont="1" applyBorder="1" applyAlignment="1">
      <alignment wrapText="1"/>
    </xf>
    <xf numFmtId="43" fontId="30" fillId="0" borderId="0" xfId="10" applyFont="1"/>
    <xf numFmtId="43" fontId="30" fillId="0" borderId="0" xfId="10" applyFont="1" applyFill="1"/>
    <xf numFmtId="0" fontId="30" fillId="0" borderId="0" xfId="0" applyFont="1" applyFill="1"/>
    <xf numFmtId="167" fontId="30" fillId="0" borderId="0" xfId="0" applyNumberFormat="1" applyFont="1" applyBorder="1" applyAlignment="1">
      <alignment horizontal="right" wrapText="1"/>
    </xf>
    <xf numFmtId="167" fontId="30" fillId="0" borderId="0" xfId="0" applyNumberFormat="1" applyFont="1" applyFill="1" applyBorder="1" applyAlignment="1">
      <alignment horizontal="right" wrapText="1"/>
    </xf>
    <xf numFmtId="43" fontId="30" fillId="0" borderId="0" xfId="10" applyFont="1" applyFill="1" applyBorder="1"/>
    <xf numFmtId="0" fontId="30" fillId="5" borderId="0" xfId="0" applyFont="1" applyFill="1" applyBorder="1" applyAlignment="1">
      <alignment horizontal="left" wrapText="1" indent="2"/>
    </xf>
    <xf numFmtId="9" fontId="29" fillId="5" borderId="0" xfId="1" applyFont="1" applyFill="1" applyBorder="1" applyAlignment="1">
      <alignment wrapText="1"/>
    </xf>
    <xf numFmtId="43" fontId="36" fillId="0" borderId="0" xfId="10" applyFont="1" applyFill="1" applyBorder="1" applyAlignment="1">
      <alignment horizontal="center" wrapText="1"/>
    </xf>
    <xf numFmtId="43" fontId="36" fillId="0" borderId="0" xfId="10" applyFont="1" applyFill="1" applyBorder="1" applyAlignment="1">
      <alignment horizontal="center"/>
    </xf>
    <xf numFmtId="171" fontId="30" fillId="0" borderId="0" xfId="10" applyNumberFormat="1" applyFont="1" applyFill="1" applyBorder="1" applyAlignment="1">
      <alignment horizontal="right" wrapText="1"/>
    </xf>
    <xf numFmtId="0" fontId="30" fillId="0" borderId="0" xfId="0" applyFont="1" applyFill="1" applyBorder="1" applyAlignment="1">
      <alignment wrapText="1"/>
    </xf>
    <xf numFmtId="38" fontId="30" fillId="0" borderId="0" xfId="0" applyNumberFormat="1" applyFont="1" applyFill="1"/>
    <xf numFmtId="38" fontId="30" fillId="0" borderId="0" xfId="0" applyNumberFormat="1" applyFont="1"/>
    <xf numFmtId="9" fontId="30" fillId="5" borderId="0" xfId="1" applyFont="1" applyFill="1" applyBorder="1" applyAlignment="1">
      <alignment horizontal="center"/>
    </xf>
    <xf numFmtId="180" fontId="30" fillId="0" borderId="0" xfId="0" applyNumberFormat="1" applyFont="1" applyFill="1" applyBorder="1" applyAlignment="1">
      <alignment horizontal="right" wrapText="1"/>
    </xf>
    <xf numFmtId="40" fontId="30" fillId="0" borderId="0" xfId="0" applyNumberFormat="1" applyFont="1" applyFill="1" applyBorder="1" applyAlignment="1">
      <alignment horizontal="right" wrapText="1"/>
    </xf>
    <xf numFmtId="9" fontId="30" fillId="0" borderId="0" xfId="1" applyFont="1" applyFill="1" applyBorder="1" applyAlignment="1">
      <alignment horizontal="center"/>
    </xf>
    <xf numFmtId="0" fontId="30" fillId="0" borderId="0" xfId="0" applyFont="1" applyAlignment="1">
      <alignment horizontal="center"/>
    </xf>
    <xf numFmtId="9" fontId="30" fillId="0" borderId="0" xfId="1" applyFont="1" applyBorder="1" applyAlignment="1">
      <alignment horizontal="center"/>
    </xf>
    <xf numFmtId="166" fontId="30" fillId="0" borderId="0" xfId="0" applyNumberFormat="1" applyFont="1" applyFill="1" applyBorder="1" applyAlignment="1">
      <alignment horizontal="right" wrapText="1"/>
    </xf>
    <xf numFmtId="166" fontId="30" fillId="0" borderId="0" xfId="10" applyNumberFormat="1" applyFont="1" applyFill="1" applyBorder="1" applyAlignment="1">
      <alignment horizontal="right" wrapText="1"/>
    </xf>
    <xf numFmtId="0" fontId="30" fillId="0" borderId="0" xfId="0" applyFont="1" applyBorder="1"/>
    <xf numFmtId="9" fontId="30" fillId="0" borderId="0" xfId="1" applyFont="1" applyBorder="1" applyAlignment="1">
      <alignment horizontal="right"/>
    </xf>
    <xf numFmtId="0" fontId="30" fillId="0" borderId="7" xfId="0" applyFont="1" applyBorder="1"/>
    <xf numFmtId="166" fontId="30" fillId="0" borderId="7" xfId="0" applyNumberFormat="1" applyFont="1" applyFill="1" applyBorder="1" applyAlignment="1">
      <alignment horizontal="right" wrapText="1"/>
    </xf>
    <xf numFmtId="9" fontId="30" fillId="0" borderId="7" xfId="1" applyFont="1" applyBorder="1" applyAlignment="1">
      <alignment horizontal="right"/>
    </xf>
    <xf numFmtId="167" fontId="30" fillId="0" borderId="0" xfId="0" applyNumberFormat="1" applyFont="1" applyAlignment="1">
      <alignment horizontal="center"/>
    </xf>
    <xf numFmtId="40" fontId="30" fillId="0" borderId="0" xfId="0" applyNumberFormat="1" applyFont="1" applyAlignment="1">
      <alignment horizontal="center"/>
    </xf>
    <xf numFmtId="1" fontId="30" fillId="0" borderId="0" xfId="1" applyNumberFormat="1" applyFont="1" applyAlignment="1">
      <alignment horizontal="center"/>
    </xf>
    <xf numFmtId="0" fontId="30" fillId="0" borderId="0" xfId="0" applyFont="1" applyAlignment="1">
      <alignment horizontal="center" wrapText="1"/>
    </xf>
    <xf numFmtId="176" fontId="30" fillId="0" borderId="0" xfId="0" applyNumberFormat="1" applyFont="1" applyAlignment="1">
      <alignment horizontal="center"/>
    </xf>
    <xf numFmtId="0" fontId="29" fillId="0" borderId="0" xfId="0" applyFont="1"/>
    <xf numFmtId="0" fontId="29" fillId="0" borderId="0" xfId="0" applyFont="1" applyFill="1" applyAlignment="1">
      <alignment wrapText="1"/>
    </xf>
    <xf numFmtId="0" fontId="30" fillId="0" borderId="0" xfId="0" applyFont="1" applyAlignment="1">
      <alignment horizontal="right"/>
    </xf>
    <xf numFmtId="38" fontId="30" fillId="0" borderId="0" xfId="0" applyNumberFormat="1" applyFont="1" applyAlignment="1">
      <alignment horizontal="right"/>
    </xf>
    <xf numFmtId="168" fontId="30" fillId="0" borderId="0" xfId="10" applyNumberFormat="1" applyFont="1" applyAlignment="1">
      <alignment horizontal="right"/>
    </xf>
    <xf numFmtId="0" fontId="34" fillId="4" borderId="2" xfId="0" applyFont="1" applyFill="1" applyBorder="1" applyAlignment="1">
      <alignment horizontal="right" vertical="center"/>
    </xf>
    <xf numFmtId="0" fontId="28" fillId="0" borderId="0" xfId="0" applyFont="1" applyBorder="1"/>
    <xf numFmtId="0" fontId="28" fillId="0" borderId="0" xfId="0" applyFont="1" applyBorder="1" applyAlignment="1">
      <alignment horizontal="right"/>
    </xf>
    <xf numFmtId="0" fontId="30" fillId="0" borderId="0" xfId="0" applyFont="1" applyBorder="1" applyAlignment="1">
      <alignment horizontal="right"/>
    </xf>
    <xf numFmtId="0" fontId="30" fillId="0" borderId="0" xfId="0" applyFont="1" applyBorder="1" applyAlignment="1">
      <alignment horizontal="left"/>
    </xf>
    <xf numFmtId="166" fontId="30" fillId="0" borderId="0" xfId="0" applyNumberFormat="1" applyFont="1" applyBorder="1" applyAlignment="1">
      <alignment horizontal="right"/>
    </xf>
    <xf numFmtId="0" fontId="34" fillId="4" borderId="0" xfId="0" applyFont="1" applyFill="1" applyBorder="1" applyAlignment="1">
      <alignment horizontal="left"/>
    </xf>
    <xf numFmtId="166" fontId="34" fillId="4" borderId="0" xfId="0" applyNumberFormat="1" applyFont="1" applyFill="1" applyBorder="1" applyAlignment="1">
      <alignment horizontal="right"/>
    </xf>
    <xf numFmtId="0" fontId="38" fillId="0" borderId="0" xfId="0" applyFont="1" applyFill="1" applyBorder="1" applyAlignment="1">
      <alignment horizontal="left"/>
    </xf>
    <xf numFmtId="166" fontId="34" fillId="0" borderId="0" xfId="0" applyNumberFormat="1" applyFont="1" applyFill="1" applyBorder="1" applyAlignment="1">
      <alignment horizontal="right"/>
    </xf>
    <xf numFmtId="166" fontId="30" fillId="0" borderId="0" xfId="0" applyNumberFormat="1" applyFont="1" applyFill="1" applyBorder="1" applyAlignment="1">
      <alignment horizontal="right"/>
    </xf>
    <xf numFmtId="0" fontId="39" fillId="0" borderId="0" xfId="0" applyFont="1" applyFill="1" applyBorder="1" applyAlignment="1">
      <alignment horizontal="left"/>
    </xf>
    <xf numFmtId="166" fontId="39" fillId="0" borderId="0" xfId="0" applyNumberFormat="1" applyFont="1" applyFill="1" applyBorder="1" applyAlignment="1">
      <alignment horizontal="right"/>
    </xf>
    <xf numFmtId="0" fontId="30" fillId="4" borderId="0" xfId="0" applyFont="1" applyFill="1" applyBorder="1" applyAlignment="1">
      <alignment horizontal="left"/>
    </xf>
    <xf numFmtId="166" fontId="30" fillId="4" borderId="0" xfId="0" applyNumberFormat="1" applyFont="1" applyFill="1" applyBorder="1" applyAlignment="1">
      <alignment horizontal="right"/>
    </xf>
    <xf numFmtId="0" fontId="30" fillId="0" borderId="0" xfId="0" applyFont="1" applyFill="1" applyBorder="1" applyAlignment="1">
      <alignment horizontal="left"/>
    </xf>
    <xf numFmtId="3" fontId="30" fillId="0" borderId="0" xfId="0" applyNumberFormat="1" applyFont="1" applyBorder="1" applyAlignment="1">
      <alignment horizontal="right"/>
    </xf>
    <xf numFmtId="177" fontId="30" fillId="0" borderId="0" xfId="10" applyNumberFormat="1" applyFont="1" applyFill="1" applyBorder="1" applyAlignment="1">
      <alignment horizontal="right"/>
    </xf>
    <xf numFmtId="171" fontId="30" fillId="0" borderId="0" xfId="10" applyNumberFormat="1" applyFont="1" applyFill="1" applyBorder="1" applyAlignment="1">
      <alignment horizontal="right"/>
    </xf>
    <xf numFmtId="3" fontId="30" fillId="0" borderId="0" xfId="0" applyNumberFormat="1" applyFont="1" applyFill="1" applyBorder="1" applyAlignment="1">
      <alignment horizontal="right"/>
    </xf>
    <xf numFmtId="3" fontId="30" fillId="0" borderId="0" xfId="0" applyNumberFormat="1" applyFont="1" applyFill="1"/>
    <xf numFmtId="166" fontId="30" fillId="0" borderId="0" xfId="1" applyNumberFormat="1" applyFont="1" applyFill="1" applyBorder="1" applyAlignment="1">
      <alignment horizontal="right"/>
    </xf>
    <xf numFmtId="170" fontId="30" fillId="0" borderId="0" xfId="10" applyNumberFormat="1" applyFont="1" applyFill="1" applyBorder="1" applyAlignment="1">
      <alignment horizontal="right"/>
    </xf>
    <xf numFmtId="9" fontId="30" fillId="0" borderId="0" xfId="1" applyFont="1" applyFill="1" applyBorder="1" applyAlignment="1">
      <alignment horizontal="right"/>
    </xf>
    <xf numFmtId="41" fontId="30" fillId="0" borderId="0" xfId="1" applyNumberFormat="1" applyFont="1" applyFill="1" applyBorder="1" applyAlignment="1">
      <alignment horizontal="right"/>
    </xf>
    <xf numFmtId="166" fontId="30" fillId="0" borderId="0" xfId="10" applyNumberFormat="1" applyFont="1" applyFill="1" applyBorder="1" applyAlignment="1">
      <alignment horizontal="right"/>
    </xf>
    <xf numFmtId="9" fontId="30" fillId="0" borderId="0" xfId="1" applyFont="1" applyFill="1"/>
    <xf numFmtId="10" fontId="30" fillId="0" borderId="0" xfId="1" applyNumberFormat="1" applyFont="1" applyFill="1"/>
    <xf numFmtId="0" fontId="30" fillId="0" borderId="7" xfId="0" applyFont="1" applyFill="1" applyBorder="1" applyAlignment="1">
      <alignment wrapText="1"/>
    </xf>
    <xf numFmtId="177" fontId="30" fillId="0" borderId="7" xfId="10" applyNumberFormat="1" applyFont="1" applyFill="1" applyBorder="1" applyAlignment="1">
      <alignment horizontal="right"/>
    </xf>
    <xf numFmtId="171" fontId="30" fillId="0" borderId="7" xfId="10" applyNumberFormat="1" applyFont="1" applyFill="1" applyBorder="1" applyAlignment="1">
      <alignment horizontal="right"/>
    </xf>
    <xf numFmtId="3" fontId="30" fillId="0" borderId="7" xfId="0" applyNumberFormat="1" applyFont="1" applyBorder="1" applyAlignment="1">
      <alignment horizontal="right"/>
    </xf>
    <xf numFmtId="9" fontId="30" fillId="0" borderId="0" xfId="0" applyNumberFormat="1" applyFont="1" applyFill="1"/>
    <xf numFmtId="171" fontId="30" fillId="0" borderId="0" xfId="10" applyNumberFormat="1" applyFont="1" applyFill="1" applyBorder="1" applyAlignment="1">
      <alignment horizontal="center"/>
    </xf>
    <xf numFmtId="2" fontId="30" fillId="0" borderId="0" xfId="0" applyNumberFormat="1" applyFont="1" applyFill="1"/>
    <xf numFmtId="10" fontId="30" fillId="0" borderId="0" xfId="1" applyNumberFormat="1" applyFont="1" applyFill="1" applyBorder="1" applyAlignment="1">
      <alignment horizontal="center"/>
    </xf>
    <xf numFmtId="9" fontId="30" fillId="0" borderId="0" xfId="1" applyNumberFormat="1" applyFont="1" applyFill="1"/>
    <xf numFmtId="9" fontId="30" fillId="0" borderId="0" xfId="1" applyFont="1" applyAlignment="1">
      <alignment horizontal="right"/>
    </xf>
    <xf numFmtId="168" fontId="30" fillId="0" borderId="0" xfId="0" applyNumberFormat="1" applyFont="1" applyAlignment="1">
      <alignment horizontal="right"/>
    </xf>
    <xf numFmtId="2" fontId="30" fillId="0" borderId="0" xfId="0" applyNumberFormat="1" applyFont="1"/>
    <xf numFmtId="0" fontId="36" fillId="0" borderId="9" xfId="0" applyFont="1" applyFill="1" applyBorder="1" applyAlignment="1">
      <alignment horizontal="center" vertical="center" wrapText="1"/>
    </xf>
    <xf numFmtId="0" fontId="30" fillId="0" borderId="0" xfId="0" applyFont="1" applyAlignment="1">
      <alignment vertical="center" wrapText="1"/>
    </xf>
    <xf numFmtId="0" fontId="29" fillId="0" borderId="0" xfId="0" applyFont="1" applyAlignment="1">
      <alignment wrapText="1"/>
    </xf>
    <xf numFmtId="0" fontId="29" fillId="0" borderId="0" xfId="0" applyFont="1" applyFill="1" applyAlignment="1">
      <alignment vertical="center"/>
    </xf>
    <xf numFmtId="0" fontId="34" fillId="4" borderId="6" xfId="0" applyFont="1" applyFill="1" applyBorder="1" applyAlignment="1">
      <alignment horizontal="right"/>
    </xf>
    <xf numFmtId="0" fontId="40" fillId="4" borderId="6" xfId="0" applyFont="1" applyFill="1" applyBorder="1" applyAlignment="1">
      <alignment horizontal="right" wrapText="1"/>
    </xf>
    <xf numFmtId="0" fontId="34" fillId="4" borderId="6" xfId="0" applyFont="1" applyFill="1" applyBorder="1" applyAlignment="1">
      <alignment horizontal="right" wrapText="1"/>
    </xf>
    <xf numFmtId="0" fontId="38" fillId="0" borderId="0" xfId="0" applyFont="1" applyFill="1" applyAlignment="1">
      <alignment wrapText="1"/>
    </xf>
    <xf numFmtId="0" fontId="34" fillId="4" borderId="7" xfId="0" applyFont="1" applyFill="1" applyBorder="1" applyAlignment="1">
      <alignment horizontal="right" vertical="center"/>
    </xf>
    <xf numFmtId="0" fontId="36" fillId="2" borderId="9" xfId="2" applyFont="1" applyFill="1" applyBorder="1" applyAlignment="1">
      <alignment horizontal="center" vertical="center"/>
    </xf>
    <xf numFmtId="0" fontId="40" fillId="0" borderId="0" xfId="0" applyFont="1" applyAlignment="1">
      <alignment vertical="center"/>
    </xf>
    <xf numFmtId="0" fontId="30" fillId="0" borderId="0" xfId="0" applyFont="1" applyBorder="1" applyAlignment="1">
      <alignment horizontal="left" wrapText="1" indent="1"/>
    </xf>
    <xf numFmtId="9" fontId="29" fillId="0" borderId="0" xfId="1" applyFont="1" applyFill="1" applyBorder="1" applyAlignment="1">
      <alignment horizontal="right"/>
    </xf>
    <xf numFmtId="0" fontId="28" fillId="0" borderId="0" xfId="0" applyFont="1" applyBorder="1" applyAlignment="1">
      <alignment wrapText="1"/>
    </xf>
    <xf numFmtId="38" fontId="28" fillId="0" borderId="6" xfId="0" applyNumberFormat="1" applyFont="1" applyBorder="1" applyAlignment="1">
      <alignment horizontal="right" wrapText="1"/>
    </xf>
    <xf numFmtId="38" fontId="28" fillId="0" borderId="6" xfId="0" applyNumberFormat="1" applyFont="1" applyFill="1" applyBorder="1" applyAlignment="1">
      <alignment horizontal="right" wrapText="1"/>
    </xf>
    <xf numFmtId="38" fontId="28" fillId="0" borderId="5" xfId="0" applyNumberFormat="1" applyFont="1" applyBorder="1" applyAlignment="1">
      <alignment horizontal="right" wrapText="1"/>
    </xf>
    <xf numFmtId="38" fontId="28" fillId="0" borderId="5" xfId="0" applyNumberFormat="1" applyFont="1" applyFill="1" applyBorder="1" applyAlignment="1">
      <alignment horizontal="right" wrapText="1"/>
    </xf>
    <xf numFmtId="38" fontId="28" fillId="0" borderId="0" xfId="0" applyNumberFormat="1" applyFont="1" applyBorder="1" applyAlignment="1">
      <alignment horizontal="right" wrapText="1"/>
    </xf>
    <xf numFmtId="38" fontId="28" fillId="0" borderId="0" xfId="0" applyNumberFormat="1" applyFont="1" applyFill="1" applyBorder="1" applyAlignment="1">
      <alignment horizontal="right" wrapText="1"/>
    </xf>
    <xf numFmtId="38" fontId="30" fillId="0" borderId="7" xfId="0" applyNumberFormat="1" applyFont="1" applyBorder="1" applyAlignment="1">
      <alignment horizontal="right" wrapText="1"/>
    </xf>
    <xf numFmtId="38" fontId="30" fillId="0" borderId="7" xfId="0" applyNumberFormat="1" applyFont="1" applyFill="1" applyBorder="1" applyAlignment="1">
      <alignment horizontal="right" wrapText="1"/>
    </xf>
    <xf numFmtId="38" fontId="39" fillId="0" borderId="0" xfId="0" applyNumberFormat="1" applyFont="1" applyFill="1" applyBorder="1" applyAlignment="1">
      <alignment horizontal="right"/>
    </xf>
    <xf numFmtId="38" fontId="30" fillId="0" borderId="0" xfId="0" applyNumberFormat="1" applyFont="1" applyBorder="1" applyAlignment="1">
      <alignment horizontal="right"/>
    </xf>
    <xf numFmtId="38" fontId="39" fillId="0" borderId="7" xfId="0" applyNumberFormat="1" applyFont="1" applyFill="1" applyBorder="1" applyAlignment="1">
      <alignment horizontal="right"/>
    </xf>
    <xf numFmtId="38" fontId="30" fillId="0" borderId="7" xfId="0" applyNumberFormat="1" applyFont="1" applyBorder="1" applyAlignment="1">
      <alignment horizontal="right"/>
    </xf>
    <xf numFmtId="0" fontId="30" fillId="0" borderId="0" xfId="0" applyFont="1" applyFill="1" applyBorder="1" applyAlignment="1">
      <alignment horizontal="left" wrapText="1" indent="1"/>
    </xf>
    <xf numFmtId="0" fontId="30" fillId="0" borderId="0" xfId="0" applyFont="1" applyBorder="1" applyAlignment="1">
      <alignment horizontal="left" wrapText="1" indent="2"/>
    </xf>
    <xf numFmtId="43" fontId="29" fillId="0" borderId="0" xfId="10" applyFont="1" applyFill="1" applyBorder="1" applyAlignment="1">
      <alignment horizontal="right"/>
    </xf>
    <xf numFmtId="43" fontId="29" fillId="0" borderId="0" xfId="10" quotePrefix="1" applyFont="1" applyFill="1" applyBorder="1" applyAlignment="1">
      <alignment horizontal="right"/>
    </xf>
    <xf numFmtId="10" fontId="29" fillId="0" borderId="0" xfId="1" applyNumberFormat="1" applyFont="1" applyFill="1" applyBorder="1" applyAlignment="1">
      <alignment horizontal="right"/>
    </xf>
    <xf numFmtId="38" fontId="30" fillId="0" borderId="8" xfId="0" applyNumberFormat="1" applyFont="1" applyBorder="1" applyAlignment="1">
      <alignment horizontal="right" wrapText="1"/>
    </xf>
    <xf numFmtId="38" fontId="30" fillId="0" borderId="8" xfId="0" applyNumberFormat="1" applyFont="1" applyFill="1" applyBorder="1" applyAlignment="1">
      <alignment horizontal="right" wrapText="1"/>
    </xf>
    <xf numFmtId="38" fontId="29" fillId="0" borderId="0" xfId="0" applyNumberFormat="1" applyFont="1" applyFill="1" applyBorder="1" applyAlignment="1">
      <alignment horizontal="right"/>
    </xf>
    <xf numFmtId="168" fontId="30" fillId="0" borderId="0" xfId="10" applyNumberFormat="1" applyFont="1" applyBorder="1" applyAlignment="1">
      <alignment horizontal="right" wrapText="1"/>
    </xf>
    <xf numFmtId="168" fontId="30" fillId="0" borderId="0" xfId="10" applyNumberFormat="1" applyFont="1" applyFill="1" applyBorder="1" applyAlignment="1">
      <alignment horizontal="right" wrapText="1"/>
    </xf>
    <xf numFmtId="0" fontId="30" fillId="0" borderId="7" xfId="0" applyFont="1" applyBorder="1" applyAlignment="1">
      <alignment wrapText="1"/>
    </xf>
    <xf numFmtId="40" fontId="41" fillId="0" borderId="7" xfId="0" applyNumberFormat="1" applyFont="1" applyFill="1" applyBorder="1" applyAlignment="1">
      <alignment horizontal="right" wrapText="1"/>
    </xf>
    <xf numFmtId="9" fontId="41" fillId="0" borderId="7" xfId="1" applyFont="1" applyFill="1" applyBorder="1" applyAlignment="1">
      <alignment horizontal="right" wrapText="1"/>
    </xf>
    <xf numFmtId="43" fontId="30" fillId="0" borderId="0" xfId="10" applyFont="1" applyAlignment="1">
      <alignment wrapText="1"/>
    </xf>
    <xf numFmtId="3" fontId="30" fillId="0" borderId="0" xfId="0" applyNumberFormat="1" applyFont="1" applyAlignment="1">
      <alignment horizontal="center"/>
    </xf>
    <xf numFmtId="38" fontId="30" fillId="0" borderId="0" xfId="0" applyNumberFormat="1" applyFont="1" applyAlignment="1">
      <alignment horizontal="center"/>
    </xf>
    <xf numFmtId="0" fontId="29" fillId="0" borderId="0" xfId="0" applyFont="1" applyFill="1" applyBorder="1" applyAlignment="1">
      <alignment horizontal="right"/>
    </xf>
    <xf numFmtId="181" fontId="30" fillId="0" borderId="0" xfId="0" applyNumberFormat="1" applyFont="1" applyAlignment="1">
      <alignment horizontal="center"/>
    </xf>
    <xf numFmtId="0" fontId="29" fillId="0" borderId="0" xfId="0" applyFont="1" applyBorder="1" applyAlignment="1">
      <alignment horizontal="right"/>
    </xf>
    <xf numFmtId="38" fontId="30" fillId="0" borderId="0" xfId="0" applyNumberFormat="1" applyFont="1" applyAlignment="1">
      <alignment horizontal="center" vertical="center" wrapText="1"/>
    </xf>
    <xf numFmtId="0" fontId="29" fillId="0" borderId="0" xfId="0" applyFont="1" applyBorder="1" applyAlignment="1">
      <alignment horizontal="right" vertical="center" wrapText="1"/>
    </xf>
    <xf numFmtId="43" fontId="30" fillId="0" borderId="0" xfId="10" applyFont="1" applyAlignment="1">
      <alignment vertical="center" wrapText="1"/>
    </xf>
    <xf numFmtId="0" fontId="29" fillId="0" borderId="0" xfId="0" applyFont="1" applyBorder="1" applyAlignment="1">
      <alignment horizontal="right" vertical="center"/>
    </xf>
    <xf numFmtId="43" fontId="30" fillId="0" borderId="0" xfId="10" applyFont="1" applyAlignment="1">
      <alignment vertical="center"/>
    </xf>
    <xf numFmtId="0" fontId="28" fillId="0" borderId="0" xfId="0" applyFont="1" applyAlignment="1">
      <alignment horizontal="center" wrapText="1"/>
    </xf>
    <xf numFmtId="0" fontId="30" fillId="0" borderId="4" xfId="0" applyFont="1" applyBorder="1" applyAlignment="1">
      <alignment wrapText="1"/>
    </xf>
    <xf numFmtId="43" fontId="30" fillId="2" borderId="0" xfId="10" applyFont="1" applyFill="1" applyBorder="1" applyAlignment="1" applyProtection="1">
      <alignment horizontal="right"/>
    </xf>
    <xf numFmtId="165" fontId="30" fillId="2" borderId="0" xfId="0" applyNumberFormat="1" applyFont="1" applyFill="1" applyBorder="1" applyAlignment="1" applyProtection="1">
      <alignment horizontal="right"/>
    </xf>
    <xf numFmtId="43" fontId="28" fillId="2" borderId="0" xfId="10" applyFont="1" applyFill="1" applyBorder="1" applyAlignment="1" applyProtection="1">
      <alignment horizontal="right"/>
      <protection locked="0"/>
    </xf>
    <xf numFmtId="0" fontId="34" fillId="4" borderId="0" xfId="0" applyFont="1" applyFill="1" applyBorder="1" applyAlignment="1">
      <alignment horizontal="right"/>
    </xf>
    <xf numFmtId="0" fontId="34" fillId="4" borderId="0" xfId="0" applyFont="1" applyFill="1" applyBorder="1" applyAlignment="1">
      <alignment horizontal="right" vertical="center"/>
    </xf>
    <xf numFmtId="0" fontId="28" fillId="0" borderId="0" xfId="0" applyFont="1" applyFill="1" applyBorder="1"/>
    <xf numFmtId="0" fontId="34" fillId="0" borderId="0" xfId="0" applyFont="1" applyFill="1" applyBorder="1" applyAlignment="1">
      <alignment horizontal="right"/>
    </xf>
    <xf numFmtId="0" fontId="40" fillId="0" borderId="0" xfId="0" applyFont="1" applyFill="1" applyBorder="1" applyAlignment="1">
      <alignment horizontal="right"/>
    </xf>
    <xf numFmtId="0" fontId="30" fillId="0" borderId="0" xfId="0" applyFont="1" applyBorder="1" applyAlignment="1">
      <alignment horizontal="left" indent="1"/>
    </xf>
    <xf numFmtId="3" fontId="30" fillId="0" borderId="0" xfId="0" applyNumberFormat="1" applyFont="1"/>
    <xf numFmtId="0" fontId="30" fillId="0" borderId="0" xfId="0" applyFont="1" applyFill="1" applyBorder="1" applyAlignment="1">
      <alignment horizontal="left" indent="1"/>
    </xf>
    <xf numFmtId="0" fontId="30" fillId="0" borderId="0" xfId="0" applyFont="1" applyFill="1" applyBorder="1" applyAlignment="1">
      <alignment horizontal="right"/>
    </xf>
    <xf numFmtId="0" fontId="28" fillId="0" borderId="0" xfId="0" applyFont="1" applyBorder="1" applyAlignment="1">
      <alignment horizontal="left"/>
    </xf>
    <xf numFmtId="0" fontId="28" fillId="0" borderId="6" xfId="0" applyFont="1" applyBorder="1" applyAlignment="1">
      <alignment horizontal="right"/>
    </xf>
    <xf numFmtId="3" fontId="28" fillId="0" borderId="6" xfId="0" applyNumberFormat="1" applyFont="1" applyFill="1" applyBorder="1" applyAlignment="1">
      <alignment horizontal="right"/>
    </xf>
    <xf numFmtId="0" fontId="38" fillId="0" borderId="0" xfId="0" applyFont="1" applyFill="1" applyBorder="1" applyAlignment="1">
      <alignment horizontal="right"/>
    </xf>
    <xf numFmtId="3" fontId="30" fillId="0" borderId="7" xfId="0" applyNumberFormat="1" applyFont="1" applyFill="1" applyBorder="1" applyAlignment="1">
      <alignment horizontal="right"/>
    </xf>
    <xf numFmtId="0" fontId="28" fillId="0" borderId="0" xfId="0" applyFont="1" applyBorder="1" applyAlignment="1"/>
    <xf numFmtId="3" fontId="28" fillId="0" borderId="0" xfId="0" applyNumberFormat="1" applyFont="1" applyFill="1" applyBorder="1" applyAlignment="1">
      <alignment horizontal="right"/>
    </xf>
    <xf numFmtId="0" fontId="28" fillId="0" borderId="0" xfId="0" applyFont="1" applyFill="1" applyBorder="1" applyAlignment="1">
      <alignment horizontal="left"/>
    </xf>
    <xf numFmtId="9" fontId="41" fillId="0" borderId="6" xfId="1" applyFont="1" applyFill="1" applyBorder="1" applyAlignment="1">
      <alignment horizontal="right"/>
    </xf>
    <xf numFmtId="0" fontId="38" fillId="0" borderId="0" xfId="0" applyFont="1" applyFill="1" applyBorder="1"/>
    <xf numFmtId="0" fontId="39" fillId="0" borderId="0" xfId="0" applyFont="1" applyFill="1" applyBorder="1" applyAlignment="1">
      <alignment horizontal="right"/>
    </xf>
    <xf numFmtId="3" fontId="28" fillId="0" borderId="6" xfId="0" applyNumberFormat="1" applyFont="1" applyBorder="1" applyAlignment="1">
      <alignment horizontal="right"/>
    </xf>
    <xf numFmtId="3" fontId="30" fillId="0" borderId="0" xfId="0" applyNumberFormat="1" applyFont="1" applyAlignment="1">
      <alignment wrapText="1"/>
    </xf>
    <xf numFmtId="3" fontId="28" fillId="0" borderId="0" xfId="0" applyNumberFormat="1" applyFont="1" applyBorder="1" applyAlignment="1">
      <alignment horizontal="right"/>
    </xf>
    <xf numFmtId="9" fontId="29" fillId="0" borderId="0" xfId="1" applyFont="1" applyBorder="1" applyAlignment="1">
      <alignment horizontal="right"/>
    </xf>
    <xf numFmtId="0" fontId="28" fillId="0" borderId="7" xfId="0" applyFont="1" applyBorder="1" applyAlignment="1"/>
    <xf numFmtId="9" fontId="41" fillId="0" borderId="2" xfId="1" applyFont="1" applyFill="1" applyBorder="1" applyAlignment="1">
      <alignment horizontal="right"/>
    </xf>
    <xf numFmtId="0" fontId="41" fillId="0" borderId="2" xfId="0" applyFont="1" applyFill="1" applyBorder="1" applyAlignment="1">
      <alignment horizontal="right"/>
    </xf>
    <xf numFmtId="9" fontId="41" fillId="0" borderId="2" xfId="0" applyNumberFormat="1" applyFont="1" applyFill="1" applyBorder="1" applyAlignment="1">
      <alignment horizontal="right"/>
    </xf>
    <xf numFmtId="9" fontId="41" fillId="0" borderId="2" xfId="0" applyNumberFormat="1" applyFont="1" applyBorder="1" applyAlignment="1">
      <alignment horizontal="right"/>
    </xf>
    <xf numFmtId="9" fontId="41" fillId="0" borderId="2" xfId="1" applyFont="1" applyBorder="1" applyAlignment="1">
      <alignment horizontal="right"/>
    </xf>
    <xf numFmtId="9" fontId="29" fillId="3" borderId="0" xfId="1" applyFont="1" applyFill="1" applyBorder="1" applyAlignment="1">
      <alignment horizontal="right"/>
    </xf>
    <xf numFmtId="0" fontId="28" fillId="0" borderId="0" xfId="0" applyFont="1" applyFill="1" applyBorder="1" applyAlignment="1"/>
    <xf numFmtId="3" fontId="28" fillId="0" borderId="0" xfId="0" applyNumberFormat="1" applyFont="1" applyFill="1" applyBorder="1" applyAlignment="1">
      <alignment horizontal="right" wrapText="1"/>
    </xf>
    <xf numFmtId="0" fontId="30" fillId="0" borderId="0" xfId="0" applyFont="1" applyFill="1" applyBorder="1"/>
    <xf numFmtId="169" fontId="30" fillId="0" borderId="0" xfId="1" applyNumberFormat="1" applyFont="1" applyFill="1" applyBorder="1" applyAlignment="1">
      <alignment horizontal="right" wrapText="1"/>
    </xf>
    <xf numFmtId="3" fontId="28" fillId="0" borderId="6" xfId="0" applyNumberFormat="1" applyFont="1" applyFill="1" applyBorder="1" applyAlignment="1">
      <alignment horizontal="right" wrapText="1"/>
    </xf>
    <xf numFmtId="166" fontId="30" fillId="0" borderId="0" xfId="1" applyNumberFormat="1" applyFont="1" applyFill="1" applyBorder="1" applyAlignment="1">
      <alignment horizontal="right" wrapText="1"/>
    </xf>
    <xf numFmtId="43" fontId="30" fillId="0" borderId="0" xfId="10" applyFont="1" applyBorder="1"/>
    <xf numFmtId="3" fontId="30" fillId="0" borderId="0" xfId="0" applyNumberFormat="1" applyFont="1" applyFill="1" applyBorder="1" applyAlignment="1">
      <alignment horizontal="right" wrapText="1"/>
    </xf>
    <xf numFmtId="43" fontId="30" fillId="0" borderId="0" xfId="10" applyFont="1" applyFill="1" applyBorder="1" applyAlignment="1">
      <alignment horizontal="right" wrapText="1"/>
    </xf>
    <xf numFmtId="0" fontId="30" fillId="0" borderId="0" xfId="0" applyFont="1" applyFill="1" applyBorder="1" applyAlignment="1">
      <alignment horizontal="right" wrapText="1"/>
    </xf>
    <xf numFmtId="0" fontId="30" fillId="0" borderId="0" xfId="0" applyFont="1" applyBorder="1" applyAlignment="1">
      <alignment horizontal="right" wrapText="1"/>
    </xf>
    <xf numFmtId="43" fontId="30" fillId="0" borderId="0" xfId="0" applyNumberFormat="1" applyFont="1"/>
    <xf numFmtId="0" fontId="28" fillId="0" borderId="7" xfId="0" applyFont="1" applyFill="1" applyBorder="1" applyAlignment="1">
      <alignment horizontal="left"/>
    </xf>
    <xf numFmtId="0" fontId="28" fillId="0" borderId="2" xfId="0" applyFont="1" applyBorder="1" applyAlignment="1">
      <alignment horizontal="right" wrapText="1"/>
    </xf>
    <xf numFmtId="3" fontId="28" fillId="0" borderId="2" xfId="0" applyNumberFormat="1" applyFont="1" applyBorder="1" applyAlignment="1">
      <alignment horizontal="right" wrapText="1"/>
    </xf>
    <xf numFmtId="3" fontId="28" fillId="0" borderId="2" xfId="0" applyNumberFormat="1" applyFont="1" applyFill="1" applyBorder="1" applyAlignment="1">
      <alignment horizontal="right" wrapText="1"/>
    </xf>
    <xf numFmtId="0" fontId="28" fillId="0" borderId="0" xfId="0" applyFont="1" applyFill="1" applyBorder="1" applyAlignment="1">
      <alignment wrapText="1"/>
    </xf>
    <xf numFmtId="0" fontId="29" fillId="0" borderId="0" xfId="0" applyFont="1" applyAlignment="1">
      <alignment vertical="center" wrapText="1"/>
    </xf>
    <xf numFmtId="0" fontId="29" fillId="0" borderId="0" xfId="0" applyFont="1" applyFill="1" applyAlignment="1">
      <alignment horizontal="left" vertical="center" wrapText="1"/>
    </xf>
    <xf numFmtId="0" fontId="34" fillId="4" borderId="0" xfId="0" applyFont="1" applyFill="1" applyBorder="1" applyAlignment="1">
      <alignment horizontal="right" wrapText="1"/>
    </xf>
    <xf numFmtId="0" fontId="38" fillId="0" borderId="0" xfId="0" applyFont="1" applyFill="1" applyBorder="1" applyAlignment="1">
      <alignment horizontal="right" wrapText="1"/>
    </xf>
    <xf numFmtId="0" fontId="34" fillId="0" borderId="0" xfId="0" applyFont="1" applyFill="1" applyBorder="1" applyAlignment="1">
      <alignment horizontal="right" wrapText="1"/>
    </xf>
    <xf numFmtId="9" fontId="29" fillId="0" borderId="0" xfId="1" applyFont="1" applyFill="1" applyBorder="1" applyAlignment="1">
      <alignment horizontal="right" wrapText="1"/>
    </xf>
    <xf numFmtId="38" fontId="38" fillId="0" borderId="0" xfId="0" applyNumberFormat="1" applyFont="1" applyFill="1" applyBorder="1" applyAlignment="1">
      <alignment horizontal="right" wrapText="1"/>
    </xf>
    <xf numFmtId="175" fontId="30" fillId="0" borderId="0" xfId="0" applyNumberFormat="1" applyFont="1" applyFill="1" applyBorder="1" applyAlignment="1">
      <alignment horizontal="right" wrapText="1"/>
    </xf>
    <xf numFmtId="43" fontId="30" fillId="0" borderId="0" xfId="0" applyNumberFormat="1" applyFont="1"/>
    <xf numFmtId="41" fontId="30" fillId="0" borderId="0" xfId="10" applyNumberFormat="1" applyFont="1" applyFill="1" applyBorder="1" applyAlignment="1">
      <alignment horizontal="right" wrapText="1"/>
    </xf>
    <xf numFmtId="41" fontId="28" fillId="0" borderId="6" xfId="0" applyNumberFormat="1" applyFont="1" applyFill="1" applyBorder="1" applyAlignment="1">
      <alignment horizontal="right" wrapText="1"/>
    </xf>
    <xf numFmtId="0" fontId="28" fillId="0" borderId="0" xfId="0" applyFont="1" applyBorder="1" applyAlignment="1">
      <alignment horizontal="right" wrapText="1"/>
    </xf>
    <xf numFmtId="41" fontId="30" fillId="0" borderId="0" xfId="0" applyNumberFormat="1" applyFont="1" applyFill="1" applyBorder="1" applyAlignment="1">
      <alignment horizontal="right" wrapText="1"/>
    </xf>
    <xf numFmtId="0" fontId="29" fillId="0" borderId="0" xfId="1" applyNumberFormat="1" applyFont="1" applyFill="1" applyBorder="1" applyAlignment="1">
      <alignment horizontal="right" wrapText="1"/>
    </xf>
    <xf numFmtId="0" fontId="28" fillId="0" borderId="7" xfId="0" applyFont="1" applyBorder="1" applyAlignment="1">
      <alignment horizontal="left" wrapText="1"/>
    </xf>
    <xf numFmtId="0" fontId="28" fillId="0" borderId="2" xfId="0" applyFont="1" applyFill="1" applyBorder="1" applyAlignment="1">
      <alignment horizontal="right" wrapText="1"/>
    </xf>
    <xf numFmtId="41" fontId="28" fillId="0" borderId="2" xfId="0" applyNumberFormat="1" applyFont="1" applyBorder="1" applyAlignment="1">
      <alignment horizontal="right" wrapText="1"/>
    </xf>
    <xf numFmtId="9" fontId="29" fillId="0" borderId="7" xfId="1" applyFont="1" applyFill="1" applyBorder="1" applyAlignment="1">
      <alignment horizontal="right" wrapText="1"/>
    </xf>
    <xf numFmtId="0" fontId="30" fillId="0" borderId="0" xfId="0" applyFont="1" applyAlignment="1">
      <alignment horizontal="right" wrapText="1"/>
    </xf>
    <xf numFmtId="0" fontId="30" fillId="0" borderId="0" xfId="0" applyFont="1" applyAlignment="1">
      <alignment horizontal="right" vertical="center" wrapText="1"/>
    </xf>
    <xf numFmtId="38" fontId="30" fillId="0" borderId="0" xfId="0" applyNumberFormat="1" applyFont="1" applyAlignment="1">
      <alignment wrapText="1"/>
    </xf>
    <xf numFmtId="0" fontId="29" fillId="0" borderId="0" xfId="0" applyFont="1" applyBorder="1"/>
    <xf numFmtId="38" fontId="30" fillId="0" borderId="0" xfId="0" applyNumberFormat="1" applyFont="1" applyAlignment="1">
      <alignment horizontal="right" wrapText="1"/>
    </xf>
    <xf numFmtId="38" fontId="29" fillId="0" borderId="0" xfId="0" applyNumberFormat="1" applyFont="1" applyFill="1" applyBorder="1" applyAlignment="1">
      <alignment horizontal="right" wrapText="1"/>
    </xf>
    <xf numFmtId="38" fontId="30" fillId="0" borderId="0" xfId="0" applyNumberFormat="1" applyFont="1" applyBorder="1" applyAlignment="1">
      <alignment horizontal="center"/>
    </xf>
    <xf numFmtId="38" fontId="30" fillId="0" borderId="7" xfId="0" applyNumberFormat="1" applyFont="1" applyFill="1" applyBorder="1" applyAlignment="1">
      <alignment horizontal="center"/>
    </xf>
    <xf numFmtId="0" fontId="29" fillId="0" borderId="0" xfId="0" applyFont="1" applyBorder="1" applyAlignment="1"/>
    <xf numFmtId="1" fontId="28" fillId="0" borderId="0" xfId="0" applyNumberFormat="1" applyFont="1" applyBorder="1" applyAlignment="1">
      <alignment horizontal="right"/>
    </xf>
    <xf numFmtId="0" fontId="28" fillId="0" borderId="7" xfId="0" applyFont="1" applyBorder="1"/>
    <xf numFmtId="0" fontId="43" fillId="0" borderId="0" xfId="0" applyFont="1" applyAlignment="1">
      <alignment vertical="center"/>
    </xf>
    <xf numFmtId="173" fontId="28" fillId="0" borderId="7" xfId="0" applyNumberFormat="1" applyFont="1" applyBorder="1" applyAlignment="1">
      <alignment horizontal="right"/>
    </xf>
    <xf numFmtId="9" fontId="29" fillId="0" borderId="7" xfId="1" applyFont="1" applyFill="1" applyBorder="1" applyAlignment="1">
      <alignment horizontal="right"/>
    </xf>
    <xf numFmtId="0" fontId="30" fillId="0" borderId="0" xfId="0" applyFont="1" applyBorder="1" applyAlignment="1">
      <alignment horizontal="center"/>
    </xf>
    <xf numFmtId="0" fontId="28" fillId="0" borderId="0" xfId="0" applyFont="1" applyFill="1" applyBorder="1" applyAlignment="1">
      <alignment horizontal="right"/>
    </xf>
    <xf numFmtId="9" fontId="30" fillId="0" borderId="0" xfId="0" applyNumberFormat="1" applyFont="1" applyFill="1" applyBorder="1" applyAlignment="1">
      <alignment horizontal="right"/>
    </xf>
    <xf numFmtId="9" fontId="30" fillId="0" borderId="0" xfId="1" applyNumberFormat="1" applyFont="1" applyFill="1" applyBorder="1" applyAlignment="1">
      <alignment horizontal="right"/>
    </xf>
    <xf numFmtId="9" fontId="28" fillId="0" borderId="0" xfId="1" applyFont="1" applyFill="1" applyBorder="1" applyAlignment="1">
      <alignment horizontal="right"/>
    </xf>
    <xf numFmtId="10" fontId="30" fillId="0" borderId="0" xfId="0" applyNumberFormat="1" applyFont="1" applyFill="1" applyBorder="1" applyAlignment="1">
      <alignment horizontal="right"/>
    </xf>
    <xf numFmtId="0" fontId="30" fillId="0" borderId="0" xfId="0" applyFont="1" applyFill="1" applyAlignment="1">
      <alignment horizontal="right"/>
    </xf>
    <xf numFmtId="178" fontId="30" fillId="0" borderId="0" xfId="10" applyNumberFormat="1" applyFont="1" applyBorder="1" applyAlignment="1">
      <alignment horizontal="right" wrapText="1"/>
    </xf>
    <xf numFmtId="174" fontId="30" fillId="0" borderId="0" xfId="10" applyNumberFormat="1" applyFont="1" applyBorder="1" applyAlignment="1">
      <alignment horizontal="right" wrapText="1"/>
    </xf>
    <xf numFmtId="0" fontId="28" fillId="0" borderId="6" xfId="0" applyFont="1" applyBorder="1" applyAlignment="1">
      <alignment vertical="center"/>
    </xf>
    <xf numFmtId="167" fontId="28" fillId="0" borderId="6" xfId="0" applyNumberFormat="1" applyFont="1" applyBorder="1" applyAlignment="1">
      <alignment horizontal="right" wrapText="1"/>
    </xf>
    <xf numFmtId="0" fontId="28" fillId="0" borderId="6" xfId="0" applyFont="1" applyBorder="1" applyAlignment="1">
      <alignment horizontal="right" wrapText="1"/>
    </xf>
    <xf numFmtId="3" fontId="45" fillId="0" borderId="0" xfId="0" applyNumberFormat="1" applyFont="1" applyAlignment="1">
      <alignment horizontal="center"/>
    </xf>
    <xf numFmtId="40" fontId="28" fillId="0" borderId="0" xfId="0" applyNumberFormat="1" applyFont="1" applyBorder="1" applyAlignment="1">
      <alignment horizontal="right" wrapText="1"/>
    </xf>
    <xf numFmtId="0" fontId="45" fillId="0" borderId="0" xfId="0" applyFont="1"/>
    <xf numFmtId="167" fontId="30" fillId="0" borderId="0" xfId="0" applyNumberFormat="1" applyFont="1"/>
    <xf numFmtId="0" fontId="28" fillId="0" borderId="0" xfId="9" applyFont="1" applyFill="1" applyBorder="1" applyAlignment="1">
      <alignment vertical="center" wrapText="1"/>
    </xf>
    <xf numFmtId="0" fontId="29" fillId="0" borderId="0" xfId="9" applyFont="1" applyFill="1" applyBorder="1" applyAlignment="1">
      <alignment vertical="center" wrapText="1"/>
    </xf>
    <xf numFmtId="0" fontId="30" fillId="0" borderId="0" xfId="9" applyFont="1" applyFill="1" applyBorder="1" applyAlignment="1">
      <alignment wrapText="1"/>
    </xf>
    <xf numFmtId="9" fontId="47" fillId="0" borderId="0" xfId="15" applyFont="1" applyFill="1" applyBorder="1" applyAlignment="1">
      <alignment vertical="center"/>
    </xf>
    <xf numFmtId="0" fontId="30" fillId="0" borderId="0" xfId="9" applyFont="1" applyFill="1" applyBorder="1"/>
    <xf numFmtId="3" fontId="39" fillId="0" borderId="0" xfId="0" applyNumberFormat="1" applyFont="1" applyFill="1" applyBorder="1" applyAlignment="1">
      <alignment horizontal="right"/>
    </xf>
    <xf numFmtId="41" fontId="39" fillId="0" borderId="0" xfId="0" applyNumberFormat="1" applyFont="1" applyFill="1" applyBorder="1" applyAlignment="1">
      <alignment horizontal="right"/>
    </xf>
    <xf numFmtId="0" fontId="28" fillId="0" borderId="0" xfId="0" applyFont="1" applyBorder="1" applyAlignment="1">
      <alignment horizontal="left" indent="1"/>
    </xf>
    <xf numFmtId="0" fontId="30" fillId="0" borderId="0" xfId="0" applyFont="1" applyBorder="1" applyAlignment="1">
      <alignment horizontal="left" indent="2"/>
    </xf>
    <xf numFmtId="3" fontId="39" fillId="0" borderId="0" xfId="9" applyNumberFormat="1" applyFont="1" applyFill="1" applyBorder="1" applyAlignment="1">
      <alignment horizontal="right" vertical="center"/>
    </xf>
    <xf numFmtId="3" fontId="30" fillId="0" borderId="0" xfId="9" applyNumberFormat="1" applyFont="1" applyFill="1" applyBorder="1"/>
    <xf numFmtId="0" fontId="30" fillId="0" borderId="0" xfId="0" applyFont="1" applyFill="1" applyBorder="1" applyAlignment="1">
      <alignment horizontal="left" indent="2"/>
    </xf>
    <xf numFmtId="3" fontId="30" fillId="0" borderId="7" xfId="0" applyNumberFormat="1" applyFont="1" applyFill="1" applyBorder="1" applyAlignment="1">
      <alignment horizontal="right" wrapText="1"/>
    </xf>
    <xf numFmtId="0" fontId="30" fillId="0" borderId="7" xfId="0" applyFont="1" applyBorder="1" applyAlignment="1">
      <alignment horizontal="left" wrapText="1" indent="1"/>
    </xf>
    <xf numFmtId="3" fontId="39" fillId="0" borderId="0" xfId="0" applyNumberFormat="1" applyFont="1" applyBorder="1" applyAlignment="1">
      <alignment horizontal="right"/>
    </xf>
    <xf numFmtId="9" fontId="48" fillId="0" borderId="0" xfId="15" applyFont="1" applyFill="1" applyBorder="1" applyAlignment="1">
      <alignment vertical="center"/>
    </xf>
    <xf numFmtId="0" fontId="28" fillId="0" borderId="0" xfId="9" applyFont="1" applyFill="1" applyBorder="1" applyAlignment="1">
      <alignment horizontal="right" vertical="center"/>
    </xf>
    <xf numFmtId="0" fontId="30" fillId="0" borderId="0" xfId="9" applyFont="1" applyFill="1" applyBorder="1" applyAlignment="1">
      <alignment horizontal="right" wrapText="1"/>
    </xf>
    <xf numFmtId="0" fontId="30" fillId="0" borderId="0" xfId="9" applyFont="1" applyFill="1" applyBorder="1" applyAlignment="1">
      <alignment horizontal="right"/>
    </xf>
    <xf numFmtId="0" fontId="34" fillId="4" borderId="2" xfId="0" applyFont="1" applyFill="1" applyBorder="1" applyAlignment="1">
      <alignment horizontal="left" vertical="center" wrapText="1"/>
    </xf>
    <xf numFmtId="0" fontId="30" fillId="0" borderId="0" xfId="9" applyFont="1" applyFill="1" applyBorder="1" applyAlignment="1">
      <alignment vertical="center" wrapText="1"/>
    </xf>
    <xf numFmtId="0" fontId="34" fillId="4" borderId="2" xfId="0" applyFont="1" applyFill="1" applyBorder="1" applyAlignment="1">
      <alignment horizontal="right" vertical="center" wrapText="1"/>
    </xf>
    <xf numFmtId="0" fontId="30" fillId="0" borderId="0" xfId="9" applyFont="1" applyFill="1" applyBorder="1" applyAlignment="1">
      <alignment horizontal="right" vertical="center"/>
    </xf>
    <xf numFmtId="0" fontId="28" fillId="0" borderId="0" xfId="54" applyFont="1" applyFill="1" applyBorder="1" applyAlignment="1">
      <alignment vertical="center" wrapText="1"/>
    </xf>
    <xf numFmtId="0" fontId="29" fillId="0" borderId="0" xfId="54" applyFont="1" applyFill="1" applyBorder="1" applyAlignment="1">
      <alignment vertical="center"/>
    </xf>
    <xf numFmtId="0" fontId="29" fillId="0" borderId="0" xfId="54" applyFont="1" applyFill="1" applyBorder="1" applyAlignment="1">
      <alignment vertical="center" wrapText="1"/>
    </xf>
    <xf numFmtId="0" fontId="30" fillId="0" borderId="0" xfId="54" applyFont="1" applyFill="1" applyBorder="1"/>
    <xf numFmtId="9" fontId="48" fillId="0" borderId="0" xfId="56" applyFont="1" applyFill="1" applyBorder="1" applyAlignment="1">
      <alignment vertical="center"/>
    </xf>
    <xf numFmtId="3" fontId="38" fillId="0" borderId="0" xfId="54" applyNumberFormat="1" applyFont="1" applyFill="1" applyBorder="1" applyAlignment="1">
      <alignment horizontal="right" vertical="center" wrapText="1"/>
    </xf>
    <xf numFmtId="3" fontId="30" fillId="0" borderId="0" xfId="54" applyNumberFormat="1" applyFont="1" applyFill="1" applyBorder="1" applyAlignment="1">
      <alignment horizontal="center"/>
    </xf>
    <xf numFmtId="3" fontId="30" fillId="0" borderId="0" xfId="54" applyNumberFormat="1" applyFont="1" applyFill="1" applyBorder="1"/>
    <xf numFmtId="3" fontId="39" fillId="0" borderId="0" xfId="54" applyNumberFormat="1" applyFont="1" applyFill="1" applyBorder="1" applyAlignment="1">
      <alignment horizontal="right" vertical="center" wrapText="1"/>
    </xf>
    <xf numFmtId="0" fontId="29" fillId="0" borderId="0" xfId="0" applyFont="1" applyBorder="1" applyAlignment="1">
      <alignment horizontal="left" indent="4"/>
    </xf>
    <xf numFmtId="0" fontId="29" fillId="0" borderId="0" xfId="0" applyFont="1" applyFill="1" applyBorder="1" applyAlignment="1">
      <alignment horizontal="left" indent="2"/>
    </xf>
    <xf numFmtId="0" fontId="29" fillId="0" borderId="0" xfId="0" applyFont="1" applyBorder="1" applyAlignment="1">
      <alignment horizontal="left" indent="2"/>
    </xf>
    <xf numFmtId="3" fontId="30" fillId="0" borderId="0" xfId="54" applyNumberFormat="1" applyFont="1" applyFill="1" applyBorder="1" applyAlignment="1">
      <alignment horizontal="right" wrapText="1"/>
    </xf>
    <xf numFmtId="3" fontId="30" fillId="0" borderId="0" xfId="54" applyNumberFormat="1" applyFont="1" applyFill="1" applyBorder="1" applyAlignment="1">
      <alignment horizontal="right" vertical="center" wrapText="1"/>
    </xf>
    <xf numFmtId="0" fontId="28" fillId="0" borderId="0" xfId="0" applyFont="1" applyBorder="1" applyAlignment="1">
      <alignment horizontal="left" indent="2"/>
    </xf>
    <xf numFmtId="3" fontId="38" fillId="0" borderId="6" xfId="0" applyNumberFormat="1" applyFont="1" applyBorder="1" applyAlignment="1">
      <alignment horizontal="right"/>
    </xf>
    <xf numFmtId="3" fontId="38" fillId="0" borderId="6" xfId="0" applyNumberFormat="1" applyFont="1" applyFill="1" applyBorder="1" applyAlignment="1">
      <alignment horizontal="right"/>
    </xf>
    <xf numFmtId="3" fontId="38" fillId="0" borderId="0" xfId="0" applyNumberFormat="1" applyFont="1" applyBorder="1" applyAlignment="1">
      <alignment horizontal="right"/>
    </xf>
    <xf numFmtId="3" fontId="38" fillId="0" borderId="0" xfId="0" applyNumberFormat="1" applyFont="1" applyFill="1" applyBorder="1" applyAlignment="1">
      <alignment horizontal="right"/>
    </xf>
    <xf numFmtId="0" fontId="29" fillId="0" borderId="7" xfId="0" applyFont="1" applyBorder="1" applyAlignment="1">
      <alignment horizontal="left" indent="4"/>
    </xf>
    <xf numFmtId="0" fontId="28" fillId="0" borderId="0" xfId="54" applyFont="1" applyFill="1" applyBorder="1" applyAlignment="1">
      <alignment horizontal="right" vertical="center" wrapText="1"/>
    </xf>
    <xf numFmtId="0" fontId="30" fillId="0" borderId="0" xfId="54" applyFont="1" applyFill="1" applyBorder="1" applyAlignment="1">
      <alignment horizontal="right" vertical="center"/>
    </xf>
    <xf numFmtId="0" fontId="30" fillId="0" borderId="0" xfId="54" applyFont="1" applyFill="1" applyBorder="1" applyAlignment="1">
      <alignment vertical="center"/>
    </xf>
    <xf numFmtId="0" fontId="30" fillId="0" borderId="0" xfId="54" applyFont="1" applyFill="1" applyBorder="1" applyAlignment="1">
      <alignment horizontal="right" vertical="center" wrapText="1"/>
    </xf>
    <xf numFmtId="0" fontId="30" fillId="0" borderId="0" xfId="54" applyFont="1" applyFill="1" applyBorder="1" applyAlignment="1">
      <alignment wrapText="1"/>
    </xf>
    <xf numFmtId="0" fontId="30" fillId="0" borderId="0" xfId="54" applyFont="1" applyFill="1" applyBorder="1" applyAlignment="1">
      <alignment horizontal="right" wrapText="1"/>
    </xf>
    <xf numFmtId="0" fontId="29" fillId="0" borderId="0" xfId="0" applyFont="1" applyFill="1" applyBorder="1" applyAlignment="1">
      <alignment horizontal="right" wrapText="1"/>
    </xf>
    <xf numFmtId="38" fontId="30" fillId="0" borderId="0" xfId="0" applyNumberFormat="1" applyFont="1" applyFill="1" applyBorder="1" applyAlignment="1">
      <alignment horizontal="right" wrapText="1"/>
    </xf>
    <xf numFmtId="0" fontId="34" fillId="4" borderId="6" xfId="0" applyFont="1" applyFill="1" applyBorder="1" applyAlignment="1">
      <alignment horizontal="right" vertical="center"/>
    </xf>
    <xf numFmtId="0" fontId="34" fillId="4" borderId="6" xfId="0" applyFont="1" applyFill="1" applyBorder="1" applyAlignment="1">
      <alignment horizontal="right" vertical="center" wrapText="1"/>
    </xf>
    <xf numFmtId="0" fontId="40" fillId="4" borderId="6" xfId="0" applyFont="1" applyFill="1" applyBorder="1" applyAlignment="1">
      <alignment horizontal="right" vertical="center" wrapText="1"/>
    </xf>
    <xf numFmtId="0" fontId="34" fillId="4" borderId="0" xfId="0" applyFont="1" applyFill="1" applyBorder="1" applyAlignment="1">
      <alignment horizontal="right" vertical="center" wrapText="1"/>
    </xf>
    <xf numFmtId="0" fontId="40" fillId="0" borderId="0" xfId="0" applyFont="1" applyFill="1" applyBorder="1" applyAlignment="1">
      <alignment horizontal="right" wrapText="1"/>
    </xf>
    <xf numFmtId="0" fontId="30" fillId="0" borderId="0" xfId="0" applyFont="1" applyFill="1" applyAlignment="1">
      <alignment horizontal="right" vertical="center"/>
    </xf>
    <xf numFmtId="0" fontId="30" fillId="0" borderId="0" xfId="0" applyFont="1" applyAlignment="1">
      <alignment horizontal="right" vertical="center"/>
    </xf>
    <xf numFmtId="168" fontId="30" fillId="0" borderId="0" xfId="10" applyNumberFormat="1" applyFont="1" applyAlignment="1">
      <alignment vertical="center"/>
    </xf>
    <xf numFmtId="168" fontId="36" fillId="0" borderId="9" xfId="10" applyNumberFormat="1" applyFont="1" applyFill="1" applyBorder="1" applyAlignment="1">
      <alignment horizontal="center" vertical="center" wrapText="1"/>
    </xf>
    <xf numFmtId="3" fontId="30" fillId="0" borderId="0" xfId="0" applyNumberFormat="1" applyFont="1" applyBorder="1" applyAlignment="1">
      <alignment horizontal="right" wrapText="1"/>
    </xf>
    <xf numFmtId="0" fontId="28" fillId="0" borderId="0" xfId="0" applyFont="1" applyBorder="1" applyAlignment="1">
      <alignment horizontal="left" wrapText="1"/>
    </xf>
    <xf numFmtId="3" fontId="30" fillId="0" borderId="8" xfId="0" applyNumberFormat="1" applyFont="1" applyBorder="1" applyAlignment="1">
      <alignment horizontal="right" wrapText="1"/>
    </xf>
    <xf numFmtId="3" fontId="30" fillId="0" borderId="8" xfId="0" applyNumberFormat="1" applyFont="1" applyFill="1" applyBorder="1" applyAlignment="1">
      <alignment horizontal="right" wrapText="1"/>
    </xf>
    <xf numFmtId="43" fontId="29" fillId="0" borderId="0" xfId="10" applyFont="1" applyFill="1" applyBorder="1" applyAlignment="1">
      <alignment horizontal="right" wrapText="1"/>
    </xf>
    <xf numFmtId="0" fontId="28" fillId="0" borderId="0" xfId="0" applyFont="1" applyFill="1" applyBorder="1" applyAlignment="1">
      <alignment horizontal="left" wrapText="1"/>
    </xf>
    <xf numFmtId="0" fontId="30" fillId="0" borderId="0" xfId="0" applyFont="1" applyFill="1" applyBorder="1" applyAlignment="1">
      <alignment horizontal="left" wrapText="1" indent="2"/>
    </xf>
    <xf numFmtId="38" fontId="28" fillId="0" borderId="7" xfId="0" applyNumberFormat="1" applyFont="1" applyFill="1" applyBorder="1" applyAlignment="1">
      <alignment horizontal="right" wrapText="1"/>
    </xf>
    <xf numFmtId="9" fontId="30" fillId="0" borderId="0" xfId="1" applyNumberFormat="1" applyFont="1" applyBorder="1" applyAlignment="1">
      <alignment horizontal="right" wrapText="1"/>
    </xf>
    <xf numFmtId="9" fontId="29" fillId="0" borderId="0" xfId="1" applyNumberFormat="1" applyFont="1" applyBorder="1" applyAlignment="1"/>
    <xf numFmtId="0" fontId="30" fillId="3" borderId="0" xfId="0" applyFont="1" applyFill="1"/>
    <xf numFmtId="38" fontId="32" fillId="0" borderId="0" xfId="0" applyNumberFormat="1" applyFont="1" applyFill="1" applyBorder="1" applyAlignment="1">
      <alignment horizontal="right" wrapText="1"/>
    </xf>
    <xf numFmtId="168" fontId="29" fillId="0" borderId="0" xfId="10" applyNumberFormat="1" applyFont="1" applyBorder="1" applyAlignment="1"/>
    <xf numFmtId="9" fontId="29" fillId="0" borderId="0" xfId="1" applyNumberFormat="1" applyFont="1" applyBorder="1" applyAlignment="1">
      <alignment horizontal="right" wrapText="1"/>
    </xf>
    <xf numFmtId="0" fontId="30" fillId="0" borderId="0" xfId="0" applyFont="1" applyAlignment="1">
      <alignment horizontal="left" vertical="center" wrapText="1" indent="2"/>
    </xf>
    <xf numFmtId="38" fontId="28" fillId="0" borderId="2" xfId="0" applyNumberFormat="1" applyFont="1" applyFill="1" applyBorder="1" applyAlignment="1">
      <alignment horizontal="right" wrapText="1"/>
    </xf>
    <xf numFmtId="9" fontId="29" fillId="0" borderId="7" xfId="1" applyNumberFormat="1" applyFont="1" applyBorder="1" applyAlignment="1">
      <alignment horizontal="right" wrapText="1"/>
    </xf>
    <xf numFmtId="9" fontId="30" fillId="0" borderId="0" xfId="1" applyNumberFormat="1" applyFont="1" applyAlignment="1">
      <alignment horizontal="right" wrapText="1"/>
    </xf>
    <xf numFmtId="9" fontId="40" fillId="4" borderId="6" xfId="1" applyNumberFormat="1" applyFont="1" applyFill="1" applyBorder="1" applyAlignment="1">
      <alignment horizontal="right" vertical="center" wrapText="1"/>
    </xf>
    <xf numFmtId="0" fontId="34" fillId="4" borderId="0" xfId="0" applyFont="1" applyFill="1" applyBorder="1" applyAlignment="1">
      <alignment horizontal="left" vertical="center" wrapText="1"/>
    </xf>
    <xf numFmtId="0" fontId="34" fillId="0" borderId="0" xfId="0" applyFont="1" applyFill="1" applyBorder="1" applyAlignment="1">
      <alignment horizontal="right" vertical="center" wrapText="1"/>
    </xf>
    <xf numFmtId="0" fontId="30" fillId="0" borderId="0" xfId="0" applyFont="1" applyFill="1" applyAlignment="1">
      <alignment vertical="center" wrapText="1"/>
    </xf>
    <xf numFmtId="0" fontId="49" fillId="2" borderId="0" xfId="0" applyFont="1" applyFill="1"/>
    <xf numFmtId="0" fontId="30" fillId="2" borderId="0" xfId="0" applyFont="1" applyFill="1" applyAlignment="1">
      <alignment horizontal="center"/>
    </xf>
    <xf numFmtId="0" fontId="28" fillId="2" borderId="0" xfId="0" applyFont="1" applyFill="1" applyAlignment="1">
      <alignment horizontal="center"/>
    </xf>
    <xf numFmtId="10" fontId="30" fillId="0" borderId="0" xfId="0" applyNumberFormat="1" applyFont="1"/>
    <xf numFmtId="0" fontId="51" fillId="0" borderId="0" xfId="0" applyFont="1"/>
    <xf numFmtId="173" fontId="30" fillId="0" borderId="0" xfId="0" applyNumberFormat="1" applyFont="1" applyBorder="1" applyAlignment="1">
      <alignment horizontal="right"/>
    </xf>
    <xf numFmtId="0" fontId="12" fillId="4" borderId="7" xfId="0" applyFont="1" applyFill="1" applyBorder="1" applyAlignment="1">
      <alignment horizontal="right" vertical="center" wrapText="1"/>
    </xf>
    <xf numFmtId="9" fontId="40" fillId="4" borderId="0" xfId="1" applyNumberFormat="1" applyFont="1" applyFill="1" applyBorder="1" applyAlignment="1">
      <alignment horizontal="right" vertical="center" wrapText="1"/>
    </xf>
    <xf numFmtId="0" fontId="34" fillId="4" borderId="0" xfId="0" applyFont="1" applyFill="1" applyBorder="1" applyAlignment="1">
      <alignment horizontal="center" vertical="center"/>
    </xf>
    <xf numFmtId="0" fontId="29" fillId="0" borderId="0" xfId="0" applyFont="1" applyAlignment="1">
      <alignment horizontal="right" vertical="center" wrapText="1"/>
    </xf>
    <xf numFmtId="168" fontId="30" fillId="0" borderId="0" xfId="10" applyNumberFormat="1" applyFont="1" applyAlignment="1">
      <alignment horizontal="right" wrapText="1"/>
    </xf>
    <xf numFmtId="9" fontId="30" fillId="0" borderId="0" xfId="1" applyFont="1" applyAlignment="1">
      <alignment wrapText="1"/>
    </xf>
    <xf numFmtId="172" fontId="30" fillId="0" borderId="0" xfId="10" applyNumberFormat="1" applyFont="1" applyAlignment="1">
      <alignment wrapText="1"/>
    </xf>
    <xf numFmtId="0" fontId="29" fillId="0" borderId="0" xfId="0" applyFont="1" applyAlignment="1">
      <alignment horizontal="left"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wrapText="1"/>
    </xf>
    <xf numFmtId="0" fontId="36" fillId="0" borderId="0" xfId="0" applyFont="1" applyFill="1" applyBorder="1" applyAlignment="1">
      <alignment horizontal="center" wrapText="1"/>
    </xf>
    <xf numFmtId="168" fontId="30" fillId="0" borderId="0" xfId="10" applyNumberFormat="1" applyFont="1" applyFill="1"/>
    <xf numFmtId="168" fontId="30" fillId="0" borderId="0" xfId="10" applyNumberFormat="1" applyFont="1"/>
    <xf numFmtId="168" fontId="30" fillId="0" borderId="0" xfId="10" applyNumberFormat="1" applyFont="1" applyAlignment="1">
      <alignment wrapText="1"/>
    </xf>
    <xf numFmtId="38" fontId="30" fillId="3" borderId="0" xfId="0" applyNumberFormat="1" applyFont="1" applyFill="1" applyBorder="1" applyAlignment="1">
      <alignment horizontal="right" wrapText="1"/>
    </xf>
    <xf numFmtId="168" fontId="30" fillId="0" borderId="0" xfId="10" applyNumberFormat="1" applyFont="1" applyBorder="1"/>
    <xf numFmtId="168" fontId="30" fillId="0" borderId="0" xfId="10" applyNumberFormat="1" applyFont="1" applyBorder="1" applyAlignment="1">
      <alignment wrapText="1"/>
    </xf>
    <xf numFmtId="0" fontId="28" fillId="0" borderId="7" xfId="0" applyFont="1" applyFill="1" applyBorder="1" applyAlignment="1">
      <alignment wrapText="1"/>
    </xf>
    <xf numFmtId="38" fontId="28" fillId="0" borderId="7" xfId="0" applyNumberFormat="1" applyFont="1" applyBorder="1" applyAlignment="1">
      <alignment horizontal="right" wrapText="1"/>
    </xf>
    <xf numFmtId="0" fontId="29" fillId="0" borderId="0" xfId="0" applyFont="1" applyBorder="1" applyAlignment="1">
      <alignment horizontal="right" wrapText="1"/>
    </xf>
    <xf numFmtId="168" fontId="29" fillId="0" borderId="0" xfId="10" applyNumberFormat="1" applyFont="1" applyAlignment="1">
      <alignment wrapText="1"/>
    </xf>
    <xf numFmtId="38" fontId="30" fillId="0" borderId="0" xfId="0" applyNumberFormat="1" applyFont="1" applyBorder="1" applyAlignment="1">
      <alignment horizontal="left" wrapText="1"/>
    </xf>
    <xf numFmtId="38" fontId="30" fillId="0" borderId="0" xfId="0" applyNumberFormat="1" applyFont="1" applyFill="1" applyBorder="1" applyAlignment="1">
      <alignment horizontal="left" wrapText="1"/>
    </xf>
    <xf numFmtId="38" fontId="41" fillId="0" borderId="0" xfId="0" applyNumberFormat="1" applyFont="1" applyFill="1" applyBorder="1" applyAlignment="1">
      <alignment horizontal="left"/>
    </xf>
    <xf numFmtId="9" fontId="41" fillId="0" borderId="0" xfId="1" applyFont="1" applyFill="1" applyBorder="1" applyAlignment="1">
      <alignment horizontal="left"/>
    </xf>
    <xf numFmtId="43" fontId="30" fillId="0" borderId="0" xfId="10" applyFont="1" applyAlignment="1">
      <alignment horizontal="left"/>
    </xf>
    <xf numFmtId="0" fontId="30" fillId="0" borderId="0" xfId="0" applyFont="1" applyAlignment="1">
      <alignment horizontal="left"/>
    </xf>
    <xf numFmtId="3" fontId="30" fillId="0" borderId="0" xfId="0" applyNumberFormat="1" applyFont="1" applyBorder="1" applyAlignment="1">
      <alignment horizontal="right"/>
    </xf>
    <xf numFmtId="173" fontId="28" fillId="0" borderId="7" xfId="0" applyNumberFormat="1" applyFont="1" applyBorder="1" applyAlignment="1">
      <alignment horizontal="right"/>
    </xf>
    <xf numFmtId="168" fontId="30" fillId="0" borderId="0" xfId="10" applyNumberFormat="1" applyFont="1" applyFill="1" applyBorder="1" applyAlignment="1">
      <alignment horizontal="right"/>
    </xf>
    <xf numFmtId="168" fontId="30" fillId="0" borderId="0" xfId="10" applyNumberFormat="1" applyFont="1" applyFill="1" applyBorder="1"/>
    <xf numFmtId="168" fontId="30" fillId="0" borderId="0" xfId="54" applyNumberFormat="1" applyFont="1" applyFill="1" applyBorder="1"/>
    <xf numFmtId="0" fontId="11" fillId="2" borderId="1" xfId="2" applyFill="1" applyBorder="1"/>
    <xf numFmtId="0" fontId="34" fillId="4" borderId="0" xfId="0" applyFont="1" applyFill="1" applyBorder="1" applyAlignment="1">
      <alignment horizontal="center" vertical="center"/>
    </xf>
    <xf numFmtId="3" fontId="53" fillId="0" borderId="0" xfId="0" applyNumberFormat="1" applyFont="1" applyBorder="1" applyAlignment="1">
      <alignment horizontal="right"/>
    </xf>
    <xf numFmtId="41" fontId="30" fillId="0" borderId="0" xfId="9" applyNumberFormat="1" applyFont="1" applyFill="1" applyBorder="1"/>
    <xf numFmtId="173" fontId="30" fillId="0" borderId="0" xfId="0" applyNumberFormat="1" applyFont="1" applyFill="1" applyBorder="1" applyAlignment="1">
      <alignment horizontal="right"/>
    </xf>
    <xf numFmtId="41" fontId="28" fillId="0" borderId="2" xfId="0" applyNumberFormat="1" applyFont="1" applyFill="1" applyBorder="1" applyAlignment="1">
      <alignment horizontal="right" wrapText="1"/>
    </xf>
    <xf numFmtId="0" fontId="30" fillId="0" borderId="0" xfId="0" applyFont="1" applyFill="1" applyAlignment="1">
      <alignment horizontal="right" wrapText="1"/>
    </xf>
    <xf numFmtId="174" fontId="30" fillId="0" borderId="0" xfId="10" applyNumberFormat="1" applyFont="1" applyFill="1" applyBorder="1" applyAlignment="1">
      <alignment horizontal="right" wrapText="1"/>
    </xf>
    <xf numFmtId="173" fontId="28" fillId="0" borderId="7" xfId="0" applyNumberFormat="1" applyFont="1" applyFill="1" applyBorder="1" applyAlignment="1">
      <alignment horizontal="right"/>
    </xf>
    <xf numFmtId="0" fontId="28" fillId="0" borderId="0" xfId="0" applyFont="1" applyFill="1" applyBorder="1" applyAlignment="1">
      <alignment horizontal="left" indent="1"/>
    </xf>
    <xf numFmtId="0" fontId="29" fillId="0" borderId="0" xfId="0" applyFont="1" applyFill="1" applyBorder="1" applyAlignment="1">
      <alignment horizontal="left" indent="4"/>
    </xf>
    <xf numFmtId="38" fontId="30" fillId="0" borderId="0" xfId="0" applyNumberFormat="1" applyFont="1" applyFill="1" applyAlignment="1">
      <alignment horizontal="right"/>
    </xf>
    <xf numFmtId="182" fontId="30" fillId="0" borderId="0" xfId="0" applyNumberFormat="1" applyFont="1" applyFill="1" applyBorder="1" applyAlignment="1">
      <alignment horizontal="right" wrapText="1"/>
    </xf>
    <xf numFmtId="9" fontId="30" fillId="0" borderId="0" xfId="1" applyFont="1"/>
    <xf numFmtId="43" fontId="39" fillId="0" borderId="0" xfId="10" applyFont="1" applyFill="1" applyBorder="1" applyAlignment="1">
      <alignment horizontal="right" vertical="center"/>
    </xf>
    <xf numFmtId="41" fontId="39"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0" fontId="30" fillId="0" borderId="0" xfId="0" applyFont="1" applyFill="1" applyBorder="1" applyAlignment="1">
      <alignment horizontal="left" indent="1"/>
    </xf>
    <xf numFmtId="0" fontId="29" fillId="0" borderId="0" xfId="0" applyFont="1" applyFill="1" applyAlignment="1">
      <alignment horizontal="left" vertical="center" wrapText="1"/>
    </xf>
    <xf numFmtId="0" fontId="29" fillId="0" borderId="0" xfId="82" applyFont="1" applyFill="1" applyBorder="1" applyAlignment="1">
      <alignment vertical="center" wrapText="1"/>
    </xf>
    <xf numFmtId="0" fontId="30" fillId="0" borderId="0" xfId="82" applyFont="1" applyFill="1" applyBorder="1"/>
    <xf numFmtId="41" fontId="39" fillId="0" borderId="0" xfId="0" applyNumberFormat="1" applyFont="1" applyFill="1" applyBorder="1" applyAlignment="1">
      <alignment horizontal="right"/>
    </xf>
    <xf numFmtId="0" fontId="30" fillId="0" borderId="0" xfId="0" applyFont="1" applyFill="1" applyBorder="1" applyAlignment="1">
      <alignment horizontal="left" indent="2"/>
    </xf>
    <xf numFmtId="0" fontId="34" fillId="4" borderId="18" xfId="0" applyFont="1" applyFill="1" applyBorder="1" applyAlignment="1">
      <alignment horizontal="left" wrapText="1"/>
    </xf>
    <xf numFmtId="0" fontId="34" fillId="4" borderId="20" xfId="0" applyFont="1" applyFill="1" applyBorder="1" applyAlignment="1">
      <alignment horizontal="center"/>
    </xf>
    <xf numFmtId="0" fontId="34" fillId="4" borderId="15" xfId="0" applyFont="1" applyFill="1" applyBorder="1" applyAlignment="1">
      <alignment horizontal="left" vertical="center" wrapText="1"/>
    </xf>
    <xf numFmtId="0" fontId="34" fillId="4" borderId="16" xfId="0" applyFont="1" applyFill="1" applyBorder="1" applyAlignment="1">
      <alignment horizontal="right" vertical="center" wrapText="1"/>
    </xf>
    <xf numFmtId="0" fontId="34" fillId="4" borderId="17" xfId="0" applyFont="1" applyFill="1" applyBorder="1" applyAlignment="1">
      <alignment horizontal="left" vertical="center"/>
    </xf>
    <xf numFmtId="0" fontId="34" fillId="4" borderId="18" xfId="0" applyFont="1" applyFill="1" applyBorder="1" applyAlignment="1">
      <alignment horizontal="left" vertical="center"/>
    </xf>
    <xf numFmtId="0" fontId="34" fillId="4" borderId="20" xfId="0" applyFont="1" applyFill="1" applyBorder="1" applyAlignment="1">
      <alignment horizontal="right"/>
    </xf>
    <xf numFmtId="0" fontId="34" fillId="4" borderId="15" xfId="0" applyFont="1" applyFill="1" applyBorder="1" applyAlignment="1">
      <alignment horizontal="left" vertical="center"/>
    </xf>
    <xf numFmtId="0" fontId="34" fillId="4" borderId="20" xfId="0" applyFont="1" applyFill="1" applyBorder="1" applyAlignment="1">
      <alignment horizontal="right" vertical="center"/>
    </xf>
    <xf numFmtId="0" fontId="34" fillId="4" borderId="20" xfId="0" applyFont="1" applyFill="1" applyBorder="1" applyAlignment="1">
      <alignment horizontal="center" vertical="center"/>
    </xf>
    <xf numFmtId="0" fontId="34" fillId="4" borderId="20" xfId="0" applyFont="1" applyFill="1" applyBorder="1" applyAlignment="1">
      <alignment horizontal="right" vertical="center" wrapText="1"/>
    </xf>
    <xf numFmtId="0" fontId="34" fillId="4" borderId="19" xfId="0" applyFont="1" applyFill="1" applyBorder="1" applyAlignment="1">
      <alignment horizontal="right" vertical="center" wrapText="1"/>
    </xf>
    <xf numFmtId="0" fontId="34" fillId="4" borderId="18" xfId="0" applyFont="1" applyFill="1" applyBorder="1" applyAlignment="1">
      <alignment horizontal="left"/>
    </xf>
    <xf numFmtId="0" fontId="34" fillId="4" borderId="20" xfId="0" applyFont="1" applyFill="1" applyBorder="1" applyAlignment="1">
      <alignment horizontal="right" wrapText="1"/>
    </xf>
    <xf numFmtId="0" fontId="34" fillId="4" borderId="19" xfId="0" applyFont="1" applyFill="1" applyBorder="1" applyAlignment="1">
      <alignment horizontal="right" wrapText="1"/>
    </xf>
    <xf numFmtId="0" fontId="34" fillId="4" borderId="20" xfId="0" applyFont="1" applyFill="1" applyBorder="1" applyAlignment="1">
      <alignment horizontal="left" vertical="center"/>
    </xf>
    <xf numFmtId="0" fontId="40" fillId="4" borderId="20" xfId="0" applyFont="1" applyFill="1" applyBorder="1" applyAlignment="1">
      <alignment horizontal="center" vertical="center" wrapText="1"/>
    </xf>
    <xf numFmtId="0" fontId="40" fillId="4" borderId="19"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4" fillId="4" borderId="17" xfId="0" applyFont="1" applyFill="1" applyBorder="1" applyAlignment="1">
      <alignment horizontal="left" vertical="center" wrapText="1"/>
    </xf>
    <xf numFmtId="0" fontId="34" fillId="4" borderId="22" xfId="0" applyFont="1" applyFill="1" applyBorder="1" applyAlignment="1">
      <alignment horizontal="right" vertical="center"/>
    </xf>
    <xf numFmtId="0" fontId="34" fillId="4" borderId="22" xfId="0" applyFont="1" applyFill="1" applyBorder="1" applyAlignment="1">
      <alignment horizontal="right" vertical="center" wrapText="1"/>
    </xf>
    <xf numFmtId="0" fontId="34" fillId="4" borderId="23" xfId="0" applyFont="1" applyFill="1" applyBorder="1" applyAlignment="1">
      <alignment horizontal="right" vertical="center" wrapText="1"/>
    </xf>
    <xf numFmtId="0" fontId="34" fillId="4" borderId="25" xfId="0" applyFont="1" applyFill="1" applyBorder="1" applyAlignment="1">
      <alignment horizontal="center"/>
    </xf>
    <xf numFmtId="0" fontId="34" fillId="4" borderId="24" xfId="0" applyFont="1" applyFill="1" applyBorder="1" applyAlignment="1">
      <alignment horizontal="right" vertical="center" wrapText="1"/>
    </xf>
    <xf numFmtId="0" fontId="34" fillId="4" borderId="25" xfId="0" applyFont="1" applyFill="1" applyBorder="1" applyAlignment="1">
      <alignment horizontal="right"/>
    </xf>
    <xf numFmtId="38" fontId="28" fillId="0" borderId="25" xfId="0" applyNumberFormat="1" applyFont="1" applyFill="1" applyBorder="1" applyAlignment="1">
      <alignment horizontal="right" wrapText="1"/>
    </xf>
    <xf numFmtId="0" fontId="34" fillId="4" borderId="25" xfId="0" applyFont="1" applyFill="1" applyBorder="1" applyAlignment="1">
      <alignment horizontal="right" vertical="center"/>
    </xf>
    <xf numFmtId="3" fontId="28" fillId="0" borderId="25" xfId="0" applyNumberFormat="1" applyFont="1" applyFill="1" applyBorder="1" applyAlignment="1">
      <alignment horizontal="right"/>
    </xf>
    <xf numFmtId="9" fontId="41" fillId="0" borderId="25" xfId="1" applyFont="1" applyFill="1" applyBorder="1" applyAlignment="1">
      <alignment horizontal="right"/>
    </xf>
    <xf numFmtId="9" fontId="41" fillId="0" borderId="24" xfId="1" applyFont="1" applyBorder="1" applyAlignment="1">
      <alignment horizontal="right"/>
    </xf>
    <xf numFmtId="0" fontId="34" fillId="4" borderId="25" xfId="0" applyFont="1" applyFill="1" applyBorder="1" applyAlignment="1">
      <alignment horizontal="center" vertical="center"/>
    </xf>
    <xf numFmtId="3" fontId="28" fillId="0" borderId="25" xfId="0" applyNumberFormat="1" applyFont="1" applyFill="1" applyBorder="1" applyAlignment="1">
      <alignment horizontal="right" wrapText="1"/>
    </xf>
    <xf numFmtId="3" fontId="28" fillId="0" borderId="24" xfId="0" applyNumberFormat="1" applyFont="1" applyFill="1" applyBorder="1" applyAlignment="1">
      <alignment horizontal="right" wrapText="1"/>
    </xf>
    <xf numFmtId="0" fontId="34" fillId="4" borderId="25" xfId="0" applyFont="1" applyFill="1" applyBorder="1" applyAlignment="1">
      <alignment horizontal="right" vertical="center" wrapText="1"/>
    </xf>
    <xf numFmtId="41" fontId="28" fillId="0" borderId="25" xfId="0" applyNumberFormat="1" applyFont="1" applyFill="1" applyBorder="1" applyAlignment="1">
      <alignment horizontal="right" wrapText="1"/>
    </xf>
    <xf numFmtId="41" fontId="28" fillId="0" borderId="24" xfId="0" applyNumberFormat="1" applyFont="1" applyFill="1" applyBorder="1" applyAlignment="1">
      <alignment horizontal="right" wrapText="1"/>
    </xf>
    <xf numFmtId="38" fontId="28" fillId="0" borderId="25" xfId="0" applyNumberFormat="1" applyFont="1" applyBorder="1" applyAlignment="1">
      <alignment horizontal="right" wrapText="1"/>
    </xf>
    <xf numFmtId="0" fontId="34" fillId="4" borderId="25" xfId="0" applyFont="1" applyFill="1" applyBorder="1" applyAlignment="1">
      <alignment horizontal="right" wrapText="1"/>
    </xf>
    <xf numFmtId="38" fontId="13" fillId="0" borderId="25" xfId="0" applyNumberFormat="1" applyFont="1" applyFill="1" applyBorder="1" applyAlignment="1">
      <alignment horizontal="right" wrapText="1"/>
    </xf>
    <xf numFmtId="38" fontId="28" fillId="0" borderId="24" xfId="0" applyNumberFormat="1" applyFont="1" applyFill="1" applyBorder="1" applyAlignment="1">
      <alignment horizontal="right" wrapText="1"/>
    </xf>
    <xf numFmtId="0" fontId="40" fillId="4" borderId="25" xfId="0" applyFont="1" applyFill="1" applyBorder="1" applyAlignment="1">
      <alignment horizontal="center" vertical="center" wrapText="1"/>
    </xf>
    <xf numFmtId="3" fontId="28" fillId="0" borderId="25" xfId="0" applyNumberFormat="1" applyFont="1" applyBorder="1" applyAlignment="1">
      <alignment horizontal="right"/>
    </xf>
    <xf numFmtId="177" fontId="30" fillId="0" borderId="0" xfId="0" applyNumberFormat="1" applyFont="1"/>
    <xf numFmtId="183" fontId="30" fillId="0" borderId="7" xfId="0" applyNumberFormat="1" applyFont="1" applyBorder="1" applyAlignment="1">
      <alignment horizontal="right" wrapText="1"/>
    </xf>
    <xf numFmtId="183" fontId="30" fillId="0" borderId="7" xfId="0" applyNumberFormat="1" applyFont="1" applyFill="1" applyBorder="1" applyAlignment="1">
      <alignment horizontal="right" wrapText="1"/>
    </xf>
    <xf numFmtId="0" fontId="29" fillId="0" borderId="0" xfId="0" applyFont="1" applyFill="1" applyBorder="1" applyAlignment="1">
      <alignment horizontal="left" indent="6"/>
    </xf>
    <xf numFmtId="0" fontId="34" fillId="4" borderId="0" xfId="0" applyFont="1" applyFill="1" applyBorder="1" applyAlignment="1">
      <alignment horizontal="center" vertical="center"/>
    </xf>
    <xf numFmtId="0" fontId="34" fillId="4" borderId="0" xfId="0" applyFont="1" applyFill="1" applyBorder="1" applyAlignment="1">
      <alignment horizontal="center"/>
    </xf>
    <xf numFmtId="0" fontId="34" fillId="25" borderId="0" xfId="0" applyFont="1" applyFill="1" applyBorder="1" applyAlignment="1">
      <alignment horizontal="center" vertical="center"/>
    </xf>
    <xf numFmtId="0" fontId="28" fillId="0" borderId="8" xfId="0" applyFont="1" applyBorder="1"/>
    <xf numFmtId="3" fontId="28" fillId="0" borderId="8" xfId="0" applyNumberFormat="1" applyFont="1" applyBorder="1"/>
    <xf numFmtId="3" fontId="30" fillId="0" borderId="0" xfId="0" applyNumberFormat="1" applyFont="1" applyBorder="1"/>
    <xf numFmtId="3" fontId="28" fillId="0" borderId="0" xfId="0" applyNumberFormat="1" applyFont="1" applyFill="1" applyBorder="1"/>
    <xf numFmtId="0" fontId="28" fillId="0" borderId="8" xfId="0" applyFont="1" applyBorder="1" applyAlignment="1"/>
    <xf numFmtId="0" fontId="28" fillId="0" borderId="8" xfId="0" applyFont="1" applyBorder="1" applyAlignment="1">
      <alignment vertical="center"/>
    </xf>
    <xf numFmtId="0" fontId="38" fillId="0" borderId="0" xfId="0" applyFont="1" applyBorder="1"/>
    <xf numFmtId="3" fontId="38" fillId="0" borderId="0" xfId="0" applyNumberFormat="1" applyFont="1" applyBorder="1"/>
    <xf numFmtId="3" fontId="28" fillId="0" borderId="0" xfId="0" applyNumberFormat="1" applyFont="1" applyBorder="1"/>
    <xf numFmtId="3" fontId="29" fillId="0" borderId="0" xfId="0" applyNumberFormat="1" applyFont="1" applyBorder="1"/>
    <xf numFmtId="3" fontId="29" fillId="0" borderId="0" xfId="0" applyNumberFormat="1" applyFont="1" applyFill="1" applyBorder="1"/>
    <xf numFmtId="3" fontId="30" fillId="0" borderId="0" xfId="0" applyNumberFormat="1" applyFont="1" applyFill="1" applyBorder="1"/>
    <xf numFmtId="3" fontId="44" fillId="0" borderId="0" xfId="0" applyNumberFormat="1" applyFont="1" applyBorder="1" applyAlignment="1">
      <alignment horizontal="right" vertical="center" wrapText="1"/>
    </xf>
    <xf numFmtId="3" fontId="44" fillId="0" borderId="0" xfId="0" applyNumberFormat="1" applyFont="1" applyFill="1" applyBorder="1" applyAlignment="1">
      <alignment horizontal="right" vertical="center" wrapText="1"/>
    </xf>
    <xf numFmtId="0" fontId="30" fillId="0" borderId="0" xfId="0" applyFont="1" applyBorder="1" applyAlignment="1">
      <alignment vertical="center"/>
    </xf>
    <xf numFmtId="0" fontId="63" fillId="0" borderId="0" xfId="0" applyFont="1" applyBorder="1"/>
    <xf numFmtId="3" fontId="63" fillId="0" borderId="0" xfId="0" applyNumberFormat="1" applyFont="1" applyBorder="1" applyAlignment="1">
      <alignment horizontal="right"/>
    </xf>
    <xf numFmtId="3" fontId="63" fillId="0" borderId="0" xfId="0" applyNumberFormat="1" applyFont="1" applyFill="1" applyBorder="1" applyAlignment="1">
      <alignment horizontal="right"/>
    </xf>
    <xf numFmtId="3" fontId="44" fillId="0" borderId="0" xfId="0" applyNumberFormat="1" applyFont="1" applyBorder="1" applyAlignment="1">
      <alignment horizontal="right"/>
    </xf>
    <xf numFmtId="3" fontId="44" fillId="0" borderId="0" xfId="0" applyNumberFormat="1" applyFont="1" applyFill="1" applyBorder="1" applyAlignment="1">
      <alignment horizontal="right"/>
    </xf>
    <xf numFmtId="3" fontId="38" fillId="0" borderId="0" xfId="0" applyNumberFormat="1" applyFont="1" applyFill="1" applyBorder="1"/>
    <xf numFmtId="0" fontId="39" fillId="0" borderId="0" xfId="0" applyFont="1" applyBorder="1" applyAlignment="1">
      <alignment horizontal="right"/>
    </xf>
    <xf numFmtId="177" fontId="28" fillId="0" borderId="4" xfId="1" applyNumberFormat="1" applyFont="1" applyBorder="1"/>
    <xf numFmtId="177" fontId="30" fillId="0" borderId="0" xfId="1" applyNumberFormat="1" applyFont="1" applyBorder="1"/>
    <xf numFmtId="177" fontId="30" fillId="0" borderId="27" xfId="1" applyNumberFormat="1" applyFont="1" applyBorder="1"/>
    <xf numFmtId="0" fontId="30" fillId="0" borderId="4" xfId="0" applyFont="1" applyBorder="1"/>
    <xf numFmtId="177" fontId="30" fillId="0" borderId="0" xfId="1" applyNumberFormat="1" applyFont="1" applyBorder="1" applyAlignment="1"/>
    <xf numFmtId="177" fontId="30" fillId="0" borderId="27" xfId="1" applyNumberFormat="1" applyFont="1" applyBorder="1" applyAlignment="1"/>
    <xf numFmtId="0" fontId="30" fillId="0" borderId="4" xfId="0" applyFont="1" applyBorder="1" applyAlignment="1">
      <alignment horizontal="left"/>
    </xf>
    <xf numFmtId="173" fontId="30" fillId="0" borderId="0" xfId="180" applyNumberFormat="1" applyFont="1" applyBorder="1" applyAlignment="1"/>
    <xf numFmtId="173" fontId="30" fillId="0" borderId="27" xfId="180" applyNumberFormat="1" applyFont="1" applyBorder="1" applyAlignment="1"/>
    <xf numFmtId="0" fontId="30" fillId="0" borderId="15" xfId="0" applyFont="1" applyBorder="1" applyAlignment="1">
      <alignment horizontal="left"/>
    </xf>
    <xf numFmtId="173" fontId="30" fillId="0" borderId="7" xfId="180" applyNumberFormat="1" applyFont="1" applyBorder="1" applyAlignment="1"/>
    <xf numFmtId="173" fontId="30" fillId="0" borderId="7" xfId="180" applyNumberFormat="1" applyFont="1" applyBorder="1" applyAlignment="1">
      <alignment horizontal="right"/>
    </xf>
    <xf numFmtId="173" fontId="30" fillId="0" borderId="16" xfId="180" applyNumberFormat="1" applyFont="1" applyBorder="1" applyAlignment="1">
      <alignment horizontal="right"/>
    </xf>
    <xf numFmtId="0" fontId="64" fillId="0" borderId="0" xfId="0" applyFont="1" applyBorder="1"/>
    <xf numFmtId="3" fontId="65" fillId="0" borderId="0" xfId="0" applyNumberFormat="1" applyFont="1" applyBorder="1"/>
    <xf numFmtId="0" fontId="66" fillId="0" borderId="0" xfId="0" applyFont="1" applyBorder="1" applyAlignment="1">
      <alignment horizontal="left" wrapText="1"/>
    </xf>
    <xf numFmtId="0" fontId="66" fillId="0" borderId="0" xfId="0" applyFont="1" applyFill="1" applyBorder="1" applyAlignment="1">
      <alignment horizontal="left" wrapText="1"/>
    </xf>
    <xf numFmtId="0" fontId="66" fillId="0" borderId="0" xfId="0" applyFont="1" applyBorder="1"/>
    <xf numFmtId="3" fontId="66" fillId="0" borderId="0" xfId="0" applyNumberFormat="1" applyFont="1" applyBorder="1"/>
    <xf numFmtId="0" fontId="66" fillId="0" borderId="0" xfId="0" applyFont="1" applyBorder="1" applyAlignment="1">
      <alignment horizontal="left"/>
    </xf>
    <xf numFmtId="177" fontId="28" fillId="0" borderId="8" xfId="1" applyNumberFormat="1" applyFont="1" applyBorder="1"/>
    <xf numFmtId="0" fontId="68" fillId="2" borderId="0" xfId="0" applyFont="1" applyFill="1" applyBorder="1" applyAlignment="1">
      <alignment horizontal="center" vertical="center" wrapText="1"/>
    </xf>
    <xf numFmtId="0" fontId="0" fillId="2" borderId="0" xfId="0" applyFont="1" applyFill="1"/>
    <xf numFmtId="177" fontId="30" fillId="0" borderId="0" xfId="1" applyNumberFormat="1" applyFont="1" applyBorder="1" applyAlignment="1">
      <alignment horizontal="right"/>
    </xf>
    <xf numFmtId="173" fontId="30" fillId="0" borderId="4" xfId="180" applyNumberFormat="1" applyFont="1" applyBorder="1" applyAlignment="1">
      <alignment horizontal="left"/>
    </xf>
    <xf numFmtId="173" fontId="30" fillId="0" borderId="0" xfId="180" applyNumberFormat="1" applyFont="1" applyBorder="1" applyAlignment="1">
      <alignment horizontal="right"/>
    </xf>
    <xf numFmtId="177" fontId="28" fillId="0" borderId="0" xfId="1" applyNumberFormat="1" applyFont="1" applyBorder="1"/>
    <xf numFmtId="177" fontId="30" fillId="0" borderId="0" xfId="1" applyNumberFormat="1" applyFont="1" applyFill="1" applyBorder="1"/>
    <xf numFmtId="0" fontId="34" fillId="26" borderId="0" xfId="0" applyFont="1" applyFill="1" applyBorder="1" applyAlignment="1">
      <alignment horizontal="center" vertical="center" wrapText="1"/>
    </xf>
    <xf numFmtId="0" fontId="28" fillId="0" borderId="32" xfId="0" applyFont="1" applyFill="1" applyBorder="1"/>
    <xf numFmtId="3" fontId="38" fillId="0" borderId="32" xfId="0" applyNumberFormat="1" applyFont="1" applyFill="1" applyBorder="1" applyAlignment="1">
      <alignment horizontal="right"/>
    </xf>
    <xf numFmtId="3" fontId="38" fillId="0" borderId="27" xfId="0" applyNumberFormat="1" applyFont="1" applyFill="1" applyBorder="1" applyAlignment="1">
      <alignment horizontal="right"/>
    </xf>
    <xf numFmtId="0" fontId="69" fillId="0" borderId="32" xfId="0" applyFont="1" applyFill="1" applyBorder="1"/>
    <xf numFmtId="0" fontId="39" fillId="0" borderId="0" xfId="0" applyFont="1" applyFill="1" applyBorder="1" applyAlignment="1">
      <alignment horizontal="center"/>
    </xf>
    <xf numFmtId="0" fontId="39" fillId="0" borderId="32" xfId="0" applyFont="1" applyFill="1" applyBorder="1"/>
    <xf numFmtId="3" fontId="39" fillId="0" borderId="32" xfId="0" applyNumberFormat="1" applyFont="1" applyFill="1" applyBorder="1" applyAlignment="1">
      <alignment horizontal="right"/>
    </xf>
    <xf numFmtId="2" fontId="39" fillId="0" borderId="0" xfId="0" applyNumberFormat="1" applyFont="1" applyFill="1" applyBorder="1" applyAlignment="1">
      <alignment horizontal="right"/>
    </xf>
    <xf numFmtId="2" fontId="39" fillId="0" borderId="27" xfId="0" applyNumberFormat="1" applyFont="1" applyFill="1" applyBorder="1" applyAlignment="1">
      <alignment horizontal="right"/>
    </xf>
    <xf numFmtId="3" fontId="39" fillId="0" borderId="27" xfId="0" applyNumberFormat="1" applyFont="1" applyFill="1" applyBorder="1" applyAlignment="1">
      <alignment horizontal="right"/>
    </xf>
    <xf numFmtId="3" fontId="48" fillId="0" borderId="32" xfId="0" applyNumberFormat="1" applyFont="1" applyFill="1" applyBorder="1" applyAlignment="1">
      <alignment horizontal="right"/>
    </xf>
    <xf numFmtId="3" fontId="48" fillId="0" borderId="27" xfId="0" applyNumberFormat="1" applyFont="1" applyFill="1" applyBorder="1" applyAlignment="1">
      <alignment horizontal="right"/>
    </xf>
    <xf numFmtId="0" fontId="29" fillId="0" borderId="0" xfId="0" applyFont="1" applyAlignment="1">
      <alignment horizontal="right"/>
    </xf>
    <xf numFmtId="0" fontId="39" fillId="0" borderId="32" xfId="0" applyFont="1" applyFill="1" applyBorder="1" applyAlignment="1">
      <alignment horizontal="center"/>
    </xf>
    <xf numFmtId="0" fontId="39" fillId="0" borderId="0" xfId="0" applyFont="1" applyFill="1" applyBorder="1"/>
    <xf numFmtId="0" fontId="30" fillId="0" borderId="32" xfId="0" applyFont="1" applyFill="1" applyBorder="1"/>
    <xf numFmtId="3" fontId="39" fillId="0" borderId="31" xfId="0" applyNumberFormat="1" applyFont="1" applyFill="1" applyBorder="1" applyAlignment="1">
      <alignment horizontal="right"/>
    </xf>
    <xf numFmtId="2" fontId="39" fillId="0" borderId="7" xfId="0" applyNumberFormat="1" applyFont="1" applyFill="1" applyBorder="1" applyAlignment="1">
      <alignment horizontal="right"/>
    </xf>
    <xf numFmtId="2" fontId="39" fillId="0" borderId="16" xfId="0" applyNumberFormat="1" applyFont="1" applyFill="1" applyBorder="1" applyAlignment="1">
      <alignment horizontal="right"/>
    </xf>
    <xf numFmtId="3" fontId="39" fillId="0" borderId="16" xfId="0" applyNumberFormat="1" applyFont="1" applyFill="1" applyBorder="1" applyAlignment="1">
      <alignment horizontal="right"/>
    </xf>
    <xf numFmtId="0" fontId="34" fillId="26" borderId="4" xfId="0" applyFont="1" applyFill="1" applyBorder="1" applyAlignment="1">
      <alignment horizontal="center" vertical="center" wrapText="1"/>
    </xf>
    <xf numFmtId="0" fontId="38" fillId="0" borderId="0" xfId="0" applyFont="1" applyFill="1" applyBorder="1" applyAlignment="1">
      <alignment horizontal="center" wrapText="1"/>
    </xf>
    <xf numFmtId="3" fontId="30" fillId="0" borderId="32" xfId="0" applyNumberFormat="1" applyFont="1" applyFill="1" applyBorder="1" applyAlignment="1">
      <alignment horizontal="right"/>
    </xf>
    <xf numFmtId="3" fontId="30" fillId="0" borderId="27" xfId="0" applyNumberFormat="1" applyFont="1" applyFill="1" applyBorder="1" applyAlignment="1">
      <alignment horizontal="right"/>
    </xf>
    <xf numFmtId="0" fontId="30" fillId="0" borderId="31" xfId="0" applyFont="1" applyFill="1" applyBorder="1"/>
    <xf numFmtId="3" fontId="30" fillId="0" borderId="31" xfId="0" applyNumberFormat="1" applyFont="1" applyFill="1" applyBorder="1" applyAlignment="1">
      <alignment horizontal="right"/>
    </xf>
    <xf numFmtId="3" fontId="30" fillId="0" borderId="16" xfId="0" applyNumberFormat="1" applyFont="1" applyFill="1" applyBorder="1" applyAlignment="1">
      <alignment horizontal="right"/>
    </xf>
    <xf numFmtId="0" fontId="28" fillId="0" borderId="8" xfId="0" applyFont="1" applyFill="1" applyBorder="1" applyAlignment="1">
      <alignment horizontal="left"/>
    </xf>
    <xf numFmtId="3" fontId="28" fillId="0" borderId="8" xfId="0" applyNumberFormat="1" applyFont="1" applyFill="1" applyBorder="1"/>
    <xf numFmtId="0" fontId="30" fillId="0" borderId="0" xfId="0" applyFont="1" applyFill="1" applyBorder="1" applyAlignment="1">
      <alignment vertical="center"/>
    </xf>
    <xf numFmtId="0" fontId="66" fillId="0" borderId="0" xfId="0" applyFont="1" applyFill="1" applyBorder="1"/>
    <xf numFmtId="3" fontId="66" fillId="0" borderId="0" xfId="0" applyNumberFormat="1" applyFont="1" applyFill="1" applyBorder="1"/>
    <xf numFmtId="0" fontId="28" fillId="0" borderId="0" xfId="0" applyFont="1" applyBorder="1" applyAlignment="1">
      <alignment horizontal="left"/>
    </xf>
    <xf numFmtId="0" fontId="28" fillId="0" borderId="0" xfId="0" applyFont="1" applyFill="1" applyBorder="1" applyAlignment="1">
      <alignment horizontal="left"/>
    </xf>
    <xf numFmtId="0" fontId="40" fillId="4" borderId="36" xfId="0" applyFont="1" applyFill="1" applyBorder="1" applyAlignment="1">
      <alignment horizontal="right" vertical="center"/>
    </xf>
    <xf numFmtId="3" fontId="28" fillId="0" borderId="37" xfId="0" applyNumberFormat="1" applyFont="1" applyBorder="1" applyAlignment="1">
      <alignment horizontal="right"/>
    </xf>
    <xf numFmtId="0" fontId="34" fillId="4" borderId="38" xfId="0" applyFont="1" applyFill="1" applyBorder="1" applyAlignment="1">
      <alignment horizontal="left" vertical="center"/>
    </xf>
    <xf numFmtId="0" fontId="34" fillId="4" borderId="36" xfId="0" applyFont="1" applyFill="1" applyBorder="1" applyAlignment="1">
      <alignment horizontal="right" vertical="center" wrapText="1"/>
    </xf>
    <xf numFmtId="0" fontId="30" fillId="0" borderId="36" xfId="0" applyFont="1" applyBorder="1" applyAlignment="1">
      <alignment vertical="center"/>
    </xf>
    <xf numFmtId="0" fontId="40" fillId="4" borderId="39" xfId="0" applyFont="1" applyFill="1" applyBorder="1" applyAlignment="1">
      <alignment horizontal="right" vertical="center"/>
    </xf>
    <xf numFmtId="0" fontId="30" fillId="0" borderId="0" xfId="0" applyFont="1" applyBorder="1" applyAlignment="1">
      <alignment vertical="center" wrapText="1"/>
    </xf>
    <xf numFmtId="0" fontId="28" fillId="0" borderId="4" xfId="0" applyFont="1" applyBorder="1"/>
    <xf numFmtId="3" fontId="28" fillId="0" borderId="27" xfId="0" applyNumberFormat="1" applyFont="1" applyBorder="1" applyAlignment="1">
      <alignment horizontal="right"/>
    </xf>
    <xf numFmtId="3" fontId="30" fillId="0" borderId="27" xfId="0" applyNumberFormat="1" applyFont="1" applyBorder="1" applyAlignment="1">
      <alignment horizontal="right"/>
    </xf>
    <xf numFmtId="0" fontId="30" fillId="0" borderId="4" xfId="0" applyFont="1" applyBorder="1" applyAlignment="1">
      <alignment horizontal="left" indent="1"/>
    </xf>
    <xf numFmtId="0" fontId="28" fillId="0" borderId="4" xfId="0" applyFont="1" applyBorder="1" applyAlignment="1">
      <alignment horizontal="left"/>
    </xf>
    <xf numFmtId="1" fontId="28" fillId="0" borderId="27" xfId="0" applyNumberFormat="1" applyFont="1" applyBorder="1" applyAlignment="1">
      <alignment horizontal="right"/>
    </xf>
    <xf numFmtId="0" fontId="28" fillId="0" borderId="15" xfId="0" applyFont="1" applyBorder="1"/>
    <xf numFmtId="3" fontId="28" fillId="0" borderId="35" xfId="0" applyNumberFormat="1" applyFont="1" applyBorder="1" applyAlignment="1">
      <alignment horizontal="right"/>
    </xf>
    <xf numFmtId="178" fontId="0" fillId="0" borderId="0" xfId="10" applyNumberFormat="1" applyFont="1" applyBorder="1" applyAlignment="1">
      <alignment horizontal="right" wrapText="1"/>
    </xf>
    <xf numFmtId="174" fontId="0" fillId="0" borderId="0" xfId="10" applyNumberFormat="1" applyFont="1" applyBorder="1" applyAlignment="1">
      <alignment horizontal="right" wrapText="1"/>
    </xf>
    <xf numFmtId="170" fontId="0" fillId="0" borderId="0" xfId="10" applyNumberFormat="1" applyFont="1" applyBorder="1" applyAlignment="1">
      <alignment horizontal="right" wrapText="1"/>
    </xf>
    <xf numFmtId="167" fontId="13" fillId="0" borderId="36" xfId="0" applyNumberFormat="1" applyFont="1" applyBorder="1" applyAlignment="1">
      <alignment horizontal="right" wrapText="1"/>
    </xf>
    <xf numFmtId="0" fontId="28" fillId="0" borderId="0" xfId="0" applyFont="1" applyAlignment="1">
      <alignment horizontal="right"/>
    </xf>
    <xf numFmtId="9" fontId="30" fillId="0" borderId="0" xfId="1" applyFont="1" applyBorder="1" applyAlignment="1">
      <alignment horizontal="right" wrapText="1"/>
    </xf>
    <xf numFmtId="9" fontId="28" fillId="0" borderId="6" xfId="1" applyFont="1" applyBorder="1" applyAlignment="1">
      <alignment horizontal="right" wrapText="1"/>
    </xf>
    <xf numFmtId="0" fontId="30" fillId="0" borderId="0" xfId="0" applyFont="1" applyFill="1" applyBorder="1" applyAlignment="1">
      <alignment horizontal="right" indent="1"/>
    </xf>
    <xf numFmtId="0" fontId="34" fillId="4" borderId="0" xfId="0" applyFont="1" applyFill="1" applyBorder="1" applyAlignment="1">
      <alignment horizontal="center" vertical="center"/>
    </xf>
    <xf numFmtId="0" fontId="28" fillId="0" borderId="0" xfId="0" applyFont="1" applyFill="1" applyBorder="1" applyAlignment="1">
      <alignment horizontal="right" indent="1"/>
    </xf>
    <xf numFmtId="183" fontId="30" fillId="0" borderId="0" xfId="0" applyNumberFormat="1" applyFont="1" applyAlignment="1">
      <alignment horizontal="center"/>
    </xf>
    <xf numFmtId="186" fontId="30" fillId="0" borderId="0" xfId="0" applyNumberFormat="1" applyFont="1" applyAlignment="1">
      <alignment horizontal="center"/>
    </xf>
    <xf numFmtId="9" fontId="71" fillId="0" borderId="0" xfId="1" applyFont="1" applyBorder="1" applyAlignment="1">
      <alignment wrapText="1"/>
    </xf>
    <xf numFmtId="38" fontId="71" fillId="0" borderId="0" xfId="0" applyNumberFormat="1" applyFont="1" applyFill="1" applyBorder="1" applyAlignment="1">
      <alignment horizontal="right" wrapText="1"/>
    </xf>
    <xf numFmtId="9" fontId="28" fillId="0" borderId="0" xfId="1" applyFont="1" applyBorder="1" applyAlignment="1">
      <alignment horizontal="right"/>
    </xf>
    <xf numFmtId="3" fontId="30" fillId="0" borderId="0" xfId="0" applyNumberFormat="1" applyFont="1" applyBorder="1" applyAlignment="1">
      <alignment horizontal="right"/>
    </xf>
    <xf numFmtId="0" fontId="34" fillId="26" borderId="41" xfId="0" applyFont="1" applyFill="1" applyBorder="1" applyAlignment="1">
      <alignment horizontal="center" vertical="center" wrapText="1"/>
    </xf>
    <xf numFmtId="0" fontId="34" fillId="26" borderId="42" xfId="0" applyFont="1" applyFill="1" applyBorder="1" applyAlignment="1">
      <alignment horizontal="center" vertical="center" wrapText="1"/>
    </xf>
    <xf numFmtId="0" fontId="34" fillId="26" borderId="43" xfId="0" applyFont="1" applyFill="1" applyBorder="1" applyAlignment="1">
      <alignment horizontal="center" vertical="center" wrapText="1"/>
    </xf>
    <xf numFmtId="0" fontId="34" fillId="26" borderId="44" xfId="0" applyFont="1" applyFill="1" applyBorder="1" applyAlignment="1">
      <alignment horizontal="center" vertical="center" wrapText="1"/>
    </xf>
    <xf numFmtId="0" fontId="28" fillId="0" borderId="28" xfId="0" applyFont="1" applyFill="1" applyBorder="1"/>
    <xf numFmtId="3" fontId="28" fillId="0" borderId="39" xfId="0" applyNumberFormat="1" applyFont="1" applyFill="1" applyBorder="1" applyAlignment="1">
      <alignment horizontal="right"/>
    </xf>
    <xf numFmtId="2" fontId="28" fillId="0" borderId="45" xfId="0" applyNumberFormat="1" applyFont="1" applyFill="1" applyBorder="1" applyAlignment="1">
      <alignment horizontal="right"/>
    </xf>
    <xf numFmtId="2" fontId="28" fillId="0" borderId="46" xfId="0" applyNumberFormat="1" applyFont="1" applyFill="1" applyBorder="1" applyAlignment="1">
      <alignment horizontal="right"/>
    </xf>
    <xf numFmtId="3" fontId="72" fillId="0" borderId="27" xfId="181" applyNumberFormat="1" applyFont="1" applyFill="1" applyBorder="1" applyAlignment="1">
      <alignment horizontal="right"/>
    </xf>
    <xf numFmtId="0" fontId="39" fillId="0" borderId="47" xfId="0" applyFont="1" applyFill="1" applyBorder="1" applyAlignment="1">
      <alignment horizontal="center"/>
    </xf>
    <xf numFmtId="2" fontId="39" fillId="0" borderId="32" xfId="0" applyNumberFormat="1" applyFont="1" applyFill="1" applyBorder="1" applyAlignment="1">
      <alignment horizontal="right"/>
    </xf>
    <xf numFmtId="2" fontId="39" fillId="0" borderId="47" xfId="0" applyNumberFormat="1" applyFont="1" applyFill="1" applyBorder="1" applyAlignment="1">
      <alignment horizontal="right"/>
    </xf>
    <xf numFmtId="2" fontId="48" fillId="0" borderId="32" xfId="0" applyNumberFormat="1" applyFont="1" applyFill="1" applyBorder="1" applyAlignment="1">
      <alignment horizontal="right"/>
    </xf>
    <xf numFmtId="2" fontId="48" fillId="0" borderId="47" xfId="0" applyNumberFormat="1" applyFont="1" applyFill="1" applyBorder="1" applyAlignment="1">
      <alignment horizontal="right"/>
    </xf>
    <xf numFmtId="0" fontId="39" fillId="0" borderId="32" xfId="0" applyFont="1" applyFill="1" applyBorder="1" applyAlignment="1">
      <alignment horizontal="right"/>
    </xf>
    <xf numFmtId="0" fontId="39" fillId="0" borderId="47" xfId="0" applyFont="1" applyFill="1" applyBorder="1" applyAlignment="1">
      <alignment horizontal="right"/>
    </xf>
    <xf numFmtId="3" fontId="28" fillId="0" borderId="27" xfId="0" applyNumberFormat="1" applyFont="1" applyFill="1" applyBorder="1" applyAlignment="1">
      <alignment horizontal="right"/>
    </xf>
    <xf numFmtId="2" fontId="28" fillId="0" borderId="32" xfId="0" applyNumberFormat="1" applyFont="1" applyFill="1" applyBorder="1" applyAlignment="1">
      <alignment horizontal="right"/>
    </xf>
    <xf numFmtId="2" fontId="28" fillId="0" borderId="47" xfId="0" applyNumberFormat="1" applyFont="1" applyFill="1" applyBorder="1" applyAlignment="1">
      <alignment horizontal="right"/>
    </xf>
    <xf numFmtId="0" fontId="38" fillId="0" borderId="32" xfId="0" applyFont="1" applyFill="1" applyBorder="1"/>
    <xf numFmtId="0" fontId="39" fillId="0" borderId="31" xfId="0" applyFont="1" applyFill="1" applyBorder="1"/>
    <xf numFmtId="2" fontId="39" fillId="0" borderId="31" xfId="0" applyNumberFormat="1" applyFont="1" applyFill="1" applyBorder="1" applyAlignment="1">
      <alignment horizontal="right"/>
    </xf>
    <xf numFmtId="2" fontId="39" fillId="0" borderId="48" xfId="0" applyNumberFormat="1" applyFont="1" applyFill="1" applyBorder="1" applyAlignment="1">
      <alignment horizontal="right"/>
    </xf>
    <xf numFmtId="3" fontId="28" fillId="0" borderId="28" xfId="0" applyNumberFormat="1" applyFont="1" applyFill="1" applyBorder="1" applyAlignment="1">
      <alignment horizontal="right"/>
    </xf>
    <xf numFmtId="3" fontId="28" fillId="0" borderId="49" xfId="0" applyNumberFormat="1" applyFont="1" applyFill="1" applyBorder="1" applyAlignment="1">
      <alignment horizontal="right"/>
    </xf>
    <xf numFmtId="3" fontId="28" fillId="0" borderId="45" xfId="0" applyNumberFormat="1" applyFont="1" applyFill="1" applyBorder="1" applyAlignment="1">
      <alignment horizontal="right"/>
    </xf>
    <xf numFmtId="3" fontId="28" fillId="0" borderId="32" xfId="0" applyNumberFormat="1" applyFont="1" applyFill="1" applyBorder="1" applyAlignment="1">
      <alignment horizontal="right"/>
    </xf>
    <xf numFmtId="0" fontId="28" fillId="0" borderId="31" xfId="0" applyFont="1" applyFill="1" applyBorder="1"/>
    <xf numFmtId="3" fontId="28" fillId="0" borderId="31" xfId="0" applyNumberFormat="1" applyFont="1" applyFill="1" applyBorder="1" applyAlignment="1">
      <alignment horizontal="right"/>
    </xf>
    <xf numFmtId="2" fontId="28" fillId="0" borderId="31" xfId="0" applyNumberFormat="1" applyFont="1" applyFill="1" applyBorder="1" applyAlignment="1">
      <alignment horizontal="right"/>
    </xf>
    <xf numFmtId="2" fontId="28" fillId="0" borderId="48" xfId="0" applyNumberFormat="1" applyFont="1" applyFill="1" applyBorder="1" applyAlignment="1">
      <alignment horizontal="right"/>
    </xf>
    <xf numFmtId="3" fontId="28" fillId="0" borderId="16" xfId="0" applyNumberFormat="1" applyFont="1" applyFill="1" applyBorder="1" applyAlignment="1">
      <alignment horizontal="right"/>
    </xf>
    <xf numFmtId="3" fontId="38" fillId="0" borderId="31" xfId="0" applyNumberFormat="1" applyFont="1" applyFill="1" applyBorder="1" applyAlignment="1">
      <alignment horizontal="right"/>
    </xf>
    <xf numFmtId="3" fontId="38" fillId="0" borderId="16" xfId="0" applyNumberFormat="1" applyFont="1" applyFill="1" applyBorder="1" applyAlignment="1">
      <alignment horizontal="right"/>
    </xf>
    <xf numFmtId="2" fontId="28" fillId="0" borderId="0" xfId="0" applyNumberFormat="1" applyFont="1" applyFill="1" applyBorder="1" applyAlignment="1">
      <alignment horizontal="right"/>
    </xf>
    <xf numFmtId="4" fontId="30" fillId="0" borderId="4" xfId="0" applyNumberFormat="1" applyFont="1" applyFill="1" applyBorder="1" applyAlignment="1">
      <alignment horizontal="right"/>
    </xf>
    <xf numFmtId="3" fontId="30" fillId="0" borderId="50" xfId="0" applyNumberFormat="1" applyFont="1" applyFill="1" applyBorder="1" applyAlignment="1">
      <alignment horizontal="right"/>
    </xf>
    <xf numFmtId="3" fontId="30" fillId="0" borderId="49" xfId="0" applyNumberFormat="1" applyFont="1" applyFill="1" applyBorder="1" applyAlignment="1">
      <alignment horizontal="right"/>
    </xf>
    <xf numFmtId="3" fontId="30" fillId="0" borderId="45" xfId="0" applyNumberFormat="1" applyFont="1" applyFill="1" applyBorder="1" applyAlignment="1">
      <alignment horizontal="right"/>
    </xf>
    <xf numFmtId="3" fontId="30" fillId="0" borderId="51" xfId="0" applyNumberFormat="1" applyFont="1" applyFill="1" applyBorder="1" applyAlignment="1">
      <alignment horizontal="right"/>
    </xf>
    <xf numFmtId="4" fontId="30" fillId="0" borderId="15" xfId="0" applyNumberFormat="1" applyFont="1" applyFill="1" applyBorder="1" applyAlignment="1">
      <alignment horizontal="right"/>
    </xf>
    <xf numFmtId="3" fontId="30" fillId="0" borderId="52" xfId="0" applyNumberFormat="1" applyFont="1" applyFill="1" applyBorder="1" applyAlignment="1">
      <alignment horizontal="right"/>
    </xf>
    <xf numFmtId="0" fontId="30" fillId="0" borderId="28" xfId="0" applyFont="1" applyFill="1" applyBorder="1"/>
    <xf numFmtId="3" fontId="30" fillId="0" borderId="28" xfId="0" applyNumberFormat="1" applyFont="1" applyFill="1" applyBorder="1" applyAlignment="1">
      <alignment horizontal="right"/>
    </xf>
    <xf numFmtId="2" fontId="30" fillId="0" borderId="36" xfId="0" applyNumberFormat="1" applyFont="1" applyFill="1" applyBorder="1" applyAlignment="1">
      <alignment horizontal="right"/>
    </xf>
    <xf numFmtId="2" fontId="30" fillId="0" borderId="50" xfId="0" applyNumberFormat="1" applyFont="1" applyFill="1" applyBorder="1" applyAlignment="1">
      <alignment horizontal="right"/>
    </xf>
    <xf numFmtId="3" fontId="30" fillId="0" borderId="39" xfId="0" applyNumberFormat="1" applyFont="1" applyFill="1" applyBorder="1" applyAlignment="1">
      <alignment horizontal="right"/>
    </xf>
    <xf numFmtId="2" fontId="30" fillId="0" borderId="0" xfId="0" applyNumberFormat="1" applyFont="1" applyFill="1" applyBorder="1" applyAlignment="1">
      <alignment horizontal="right"/>
    </xf>
    <xf numFmtId="2" fontId="30" fillId="0" borderId="51" xfId="0" applyNumberFormat="1" applyFont="1" applyFill="1" applyBorder="1" applyAlignment="1">
      <alignment horizontal="right"/>
    </xf>
    <xf numFmtId="2" fontId="30" fillId="0" borderId="7" xfId="0" applyNumberFormat="1" applyFont="1" applyFill="1" applyBorder="1" applyAlignment="1">
      <alignment horizontal="right"/>
    </xf>
    <xf numFmtId="2" fontId="30" fillId="0" borderId="52" xfId="0" applyNumberFormat="1" applyFont="1" applyFill="1" applyBorder="1" applyAlignment="1">
      <alignment horizontal="right"/>
    </xf>
    <xf numFmtId="0" fontId="38" fillId="0" borderId="0" xfId="0" applyFont="1" applyFill="1" applyBorder="1" applyAlignment="1">
      <alignment horizontal="center"/>
    </xf>
    <xf numFmtId="0" fontId="34" fillId="26" borderId="55" xfId="0" applyFont="1" applyFill="1" applyBorder="1" applyAlignment="1">
      <alignment horizontal="center" vertical="center" wrapText="1"/>
    </xf>
    <xf numFmtId="0" fontId="34" fillId="26" borderId="36" xfId="0" applyFont="1" applyFill="1" applyBorder="1" applyAlignment="1">
      <alignment horizontal="center" vertical="center" wrapText="1"/>
    </xf>
    <xf numFmtId="0" fontId="34" fillId="26" borderId="39" xfId="0" applyFont="1" applyFill="1" applyBorder="1" applyAlignment="1">
      <alignment horizontal="center" vertical="center" wrapText="1"/>
    </xf>
    <xf numFmtId="0" fontId="39" fillId="0" borderId="0" xfId="0" applyFont="1"/>
    <xf numFmtId="0" fontId="34" fillId="4" borderId="0" xfId="0" applyFont="1" applyFill="1" applyBorder="1" applyAlignment="1">
      <alignment horizontal="center" vertical="center"/>
    </xf>
    <xf numFmtId="0" fontId="28" fillId="0" borderId="36" xfId="0" applyFont="1" applyBorder="1" applyAlignment="1">
      <alignment horizontal="left"/>
    </xf>
    <xf numFmtId="0" fontId="28" fillId="0" borderId="0" xfId="0" applyFont="1" applyFill="1" applyBorder="1" applyAlignment="1">
      <alignment horizontal="left"/>
    </xf>
    <xf numFmtId="0" fontId="28" fillId="0" borderId="0" xfId="0" applyFont="1" applyBorder="1" applyAlignment="1">
      <alignment horizontal="left"/>
    </xf>
    <xf numFmtId="0" fontId="66" fillId="0" borderId="0" xfId="0" applyFont="1" applyBorder="1" applyAlignment="1">
      <alignment horizontal="left" wrapText="1"/>
    </xf>
    <xf numFmtId="0" fontId="66" fillId="0" borderId="0" xfId="0" applyFont="1" applyFill="1" applyBorder="1" applyAlignment="1">
      <alignment horizontal="left" wrapText="1"/>
    </xf>
    <xf numFmtId="0" fontId="66" fillId="0" borderId="0" xfId="0" applyFont="1" applyBorder="1" applyAlignment="1">
      <alignment horizontal="left"/>
    </xf>
    <xf numFmtId="0" fontId="38" fillId="0" borderId="33" xfId="0" applyFont="1" applyFill="1" applyBorder="1" applyAlignment="1">
      <alignment horizontal="left"/>
    </xf>
    <xf numFmtId="0" fontId="38" fillId="0" borderId="8" xfId="0" applyFont="1" applyFill="1" applyBorder="1" applyAlignment="1">
      <alignment horizontal="left"/>
    </xf>
    <xf numFmtId="0" fontId="34" fillId="26" borderId="28"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8" xfId="0" applyFont="1" applyFill="1" applyBorder="1" applyAlignment="1">
      <alignment horizontal="center" vertical="center" wrapText="1"/>
    </xf>
    <xf numFmtId="0" fontId="34" fillId="26" borderId="32" xfId="0" applyFont="1" applyFill="1" applyBorder="1" applyAlignment="1">
      <alignment horizontal="center" vertical="center"/>
    </xf>
    <xf numFmtId="0" fontId="34" fillId="26" borderId="17" xfId="0" applyFont="1" applyFill="1" applyBorder="1" applyAlignment="1">
      <alignment horizontal="center" vertical="center"/>
    </xf>
    <xf numFmtId="0" fontId="34" fillId="26" borderId="53" xfId="0" applyFont="1" applyFill="1" applyBorder="1" applyAlignment="1">
      <alignment horizontal="center" vertical="center"/>
    </xf>
    <xf numFmtId="0" fontId="34" fillId="26" borderId="54" xfId="0" applyFont="1" applyFill="1" applyBorder="1" applyAlignment="1">
      <alignment horizontal="center" vertical="center"/>
    </xf>
    <xf numFmtId="0" fontId="34" fillId="26" borderId="36" xfId="0" applyFont="1" applyFill="1" applyBorder="1" applyAlignment="1">
      <alignment horizontal="center" vertical="center"/>
    </xf>
    <xf numFmtId="0" fontId="34" fillId="26" borderId="39" xfId="0" applyFont="1" applyFill="1" applyBorder="1" applyAlignment="1">
      <alignment horizontal="center" vertical="center"/>
    </xf>
    <xf numFmtId="0" fontId="34" fillId="26" borderId="31" xfId="0" applyFont="1" applyFill="1" applyBorder="1" applyAlignment="1">
      <alignment horizontal="center" vertical="center"/>
    </xf>
    <xf numFmtId="0" fontId="34" fillId="26" borderId="29" xfId="0" applyFont="1" applyFill="1" applyBorder="1" applyAlignment="1">
      <alignment horizontal="center" vertical="center"/>
    </xf>
    <xf numFmtId="0" fontId="34" fillId="26" borderId="40" xfId="0" applyFont="1" applyFill="1" applyBorder="1" applyAlignment="1">
      <alignment horizontal="center" vertical="center"/>
    </xf>
    <xf numFmtId="0" fontId="34" fillId="26" borderId="30" xfId="0" applyFont="1" applyFill="1" applyBorder="1" applyAlignment="1">
      <alignment horizontal="center" vertical="center"/>
    </xf>
    <xf numFmtId="0" fontId="38" fillId="0" borderId="34" xfId="0" applyFont="1" applyFill="1" applyBorder="1" applyAlignment="1">
      <alignment horizontal="left"/>
    </xf>
    <xf numFmtId="0" fontId="73" fillId="0" borderId="0" xfId="0" applyFont="1" applyBorder="1"/>
    <xf numFmtId="3" fontId="65" fillId="0" borderId="0" xfId="0" applyNumberFormat="1" applyFont="1" applyFill="1" applyBorder="1" applyAlignment="1">
      <alignment horizontal="right"/>
    </xf>
    <xf numFmtId="2" fontId="65" fillId="0" borderId="0" xfId="0" applyNumberFormat="1" applyFont="1" applyFill="1" applyBorder="1" applyAlignment="1">
      <alignment horizontal="right"/>
    </xf>
    <xf numFmtId="0" fontId="66" fillId="0" borderId="0" xfId="0" applyFont="1" applyBorder="1" applyAlignment="1">
      <alignment vertical="top" wrapText="1"/>
    </xf>
    <xf numFmtId="0" fontId="66" fillId="0" borderId="0" xfId="0" applyFont="1" applyBorder="1" applyAlignment="1">
      <alignment horizontal="left" vertical="top" wrapText="1"/>
    </xf>
  </cellXfs>
  <cellStyles count="280">
    <cellStyle name="blp_column_header" xfId="179"/>
    <cellStyle name="Normal 2" xfId="3"/>
    <cellStyle name="Normal 2 2" xfId="6"/>
    <cellStyle name="Normal 2 3" xfId="55"/>
    <cellStyle name="Normal 2 3 2" xfId="66"/>
    <cellStyle name="Normal 2 3 2 2" xfId="89"/>
    <cellStyle name="Normal 2 3 2 2 2" xfId="224"/>
    <cellStyle name="Normal 2 3 2 3" xfId="202"/>
    <cellStyle name="Normal 2 3 3" xfId="78"/>
    <cellStyle name="Normal 2 3 3 2" xfId="213"/>
    <cellStyle name="Normal 2 3 4" xfId="191"/>
    <cellStyle name="Normal 2 4" xfId="57"/>
    <cellStyle name="Normal 2 4 2" xfId="80"/>
    <cellStyle name="Normal 2 4 2 2" xfId="215"/>
    <cellStyle name="Normal 2 4 3" xfId="193"/>
    <cellStyle name="Normal 2 5" xfId="69"/>
    <cellStyle name="Normal 2 5 2" xfId="204"/>
    <cellStyle name="Normal 2 6" xfId="104"/>
    <cellStyle name="Normal 2 7" xfId="182"/>
    <cellStyle name="Normal 3" xfId="8"/>
    <cellStyle name="Normal 3 2" xfId="11"/>
    <cellStyle name="Normal 5" xfId="12"/>
    <cellStyle name="Normal 5 2" xfId="16"/>
    <cellStyle name="Percent 3" xfId="13"/>
    <cellStyle name="SAPBorder" xfId="38"/>
    <cellStyle name="SAPDataCell" xfId="21"/>
    <cellStyle name="SAPDataTotalCell" xfId="22"/>
    <cellStyle name="SAPDimensionCell" xfId="20"/>
    <cellStyle name="SAPEditableDataCell" xfId="23"/>
    <cellStyle name="SAPEditableDataTotalCell" xfId="26"/>
    <cellStyle name="SAPEmphasized" xfId="46"/>
    <cellStyle name="SAPEmphasizedEditableDataCell" xfId="48"/>
    <cellStyle name="SAPEmphasizedEditableDataTotalCell" xfId="49"/>
    <cellStyle name="SAPEmphasizedLockedDataCell" xfId="52"/>
    <cellStyle name="SAPEmphasizedLockedDataTotalCell" xfId="53"/>
    <cellStyle name="SAPEmphasizedReadonlyDataCell" xfId="50"/>
    <cellStyle name="SAPEmphasizedReadonlyDataTotalCell" xfId="51"/>
    <cellStyle name="SAPEmphasizedTotal" xfId="47"/>
    <cellStyle name="SAPExceptionLevel1" xfId="29"/>
    <cellStyle name="SAPExceptionLevel2" xfId="30"/>
    <cellStyle name="SAPExceptionLevel3" xfId="31"/>
    <cellStyle name="SAPExceptionLevel4" xfId="32"/>
    <cellStyle name="SAPExceptionLevel5" xfId="33"/>
    <cellStyle name="SAPExceptionLevel6" xfId="34"/>
    <cellStyle name="SAPExceptionLevel7" xfId="35"/>
    <cellStyle name="SAPExceptionLevel8" xfId="36"/>
    <cellStyle name="SAPExceptionLevel9" xfId="37"/>
    <cellStyle name="SAPGroupingFillCell" xfId="68"/>
    <cellStyle name="SAPHierarchyCell0" xfId="41"/>
    <cellStyle name="SAPHierarchyCell1" xfId="42"/>
    <cellStyle name="SAPHierarchyCell2" xfId="43"/>
    <cellStyle name="SAPHierarchyCell3" xfId="44"/>
    <cellStyle name="SAPHierarchyCell4" xfId="45"/>
    <cellStyle name="SAPLockedDataCell" xfId="25"/>
    <cellStyle name="SAPLockedDataTotalCell" xfId="28"/>
    <cellStyle name="SAPMemberCell" xfId="39"/>
    <cellStyle name="SAPMemberTotalCell" xfId="40"/>
    <cellStyle name="SAPReadonlyDataCell" xfId="24"/>
    <cellStyle name="SAPReadonlyDataTotalCell" xfId="27"/>
    <cellStyle name="Style 21" xfId="100"/>
    <cellStyle name="Гиперссылка" xfId="2" builtinId="8"/>
    <cellStyle name="Обычный" xfId="0" builtinId="0"/>
    <cellStyle name="Обычный 10" xfId="129"/>
    <cellStyle name="Обычный 10 2" xfId="165"/>
    <cellStyle name="Обычный 10 2 2" xfId="269"/>
    <cellStyle name="Обычный 10 3" xfId="141"/>
    <cellStyle name="Обычный 10 4" xfId="235"/>
    <cellStyle name="Обычный 11" xfId="133"/>
    <cellStyle name="Обычный 11 2" xfId="239"/>
    <cellStyle name="Обычный 12" xfId="91"/>
    <cellStyle name="Обычный 2" xfId="17"/>
    <cellStyle name="Обычный 2 2" xfId="5"/>
    <cellStyle name="Обычный 2 2 2" xfId="93"/>
    <cellStyle name="Обычный 2 3" xfId="9"/>
    <cellStyle name="Обычный 2 3 2" xfId="59"/>
    <cellStyle name="Обычный 2 3 2 2" xfId="82"/>
    <cellStyle name="Обычный 2 3 2 2 2" xfId="217"/>
    <cellStyle name="Обычный 2 3 2 3" xfId="195"/>
    <cellStyle name="Обычный 2 3 3" xfId="71"/>
    <cellStyle name="Обычный 2 3 3 2" xfId="206"/>
    <cellStyle name="Обычный 2 3 4" xfId="120"/>
    <cellStyle name="Обычный 2 3 5" xfId="184"/>
    <cellStyle name="Обычный 2 4" xfId="7"/>
    <cellStyle name="Обычный 2 4 2" xfId="54"/>
    <cellStyle name="Обычный 2 4 2 2" xfId="65"/>
    <cellStyle name="Обычный 2 4 2 2 2" xfId="88"/>
    <cellStyle name="Обычный 2 4 2 2 2 2" xfId="223"/>
    <cellStyle name="Обычный 2 4 2 2 3" xfId="201"/>
    <cellStyle name="Обычный 2 4 2 3" xfId="77"/>
    <cellStyle name="Обычный 2 4 2 3 2" xfId="212"/>
    <cellStyle name="Обычный 2 4 2 4" xfId="190"/>
    <cellStyle name="Обычный 2 4 3" xfId="58"/>
    <cellStyle name="Обычный 2 4 3 2" xfId="81"/>
    <cellStyle name="Обычный 2 4 3 2 2" xfId="216"/>
    <cellStyle name="Обычный 2 4 3 3" xfId="194"/>
    <cellStyle name="Обычный 2 4 4" xfId="70"/>
    <cellStyle name="Обычный 2 4 4 2" xfId="205"/>
    <cellStyle name="Обычный 2 4 5" xfId="183"/>
    <cellStyle name="Обычный 2 5" xfId="62"/>
    <cellStyle name="Обычный 2 5 2" xfId="85"/>
    <cellStyle name="Обычный 2 5 2 2" xfId="220"/>
    <cellStyle name="Обычный 2 5 3" xfId="198"/>
    <cellStyle name="Обычный 2 6" xfId="74"/>
    <cellStyle name="Обычный 2 6 2" xfId="209"/>
    <cellStyle name="Обычный 2 7" xfId="101"/>
    <cellStyle name="Обычный 2 8" xfId="187"/>
    <cellStyle name="Обычный 3" xfId="4"/>
    <cellStyle name="Обычный 3 2" xfId="107"/>
    <cellStyle name="Обычный 3 3" xfId="122"/>
    <cellStyle name="Обычный 3 4" xfId="176"/>
    <cellStyle name="Обычный 3 4 2" xfId="278"/>
    <cellStyle name="Обычный 3 5" xfId="98"/>
    <cellStyle name="Обычный 337" xfId="130"/>
    <cellStyle name="Обычный 337 2" xfId="135"/>
    <cellStyle name="Обычный 337 2 2" xfId="241"/>
    <cellStyle name="Обычный 337 3" xfId="236"/>
    <cellStyle name="Обычный 381" xfId="132"/>
    <cellStyle name="Обычный 381 2" xfId="136"/>
    <cellStyle name="Обычный 381 2 2" xfId="242"/>
    <cellStyle name="Обычный 381 3" xfId="238"/>
    <cellStyle name="Обычный 4" xfId="105"/>
    <cellStyle name="Обычный 4 2" xfId="110"/>
    <cellStyle name="Обычный 4 3" xfId="174"/>
    <cellStyle name="Обычный 406" xfId="115"/>
    <cellStyle name="Обычный 406 2" xfId="144"/>
    <cellStyle name="Обычный 406 2 2" xfId="248"/>
    <cellStyle name="Обычный 406 3" xfId="228"/>
    <cellStyle name="Обычный 421" xfId="96"/>
    <cellStyle name="Обычный 421 2" xfId="137"/>
    <cellStyle name="Обычный 421 2 2" xfId="243"/>
    <cellStyle name="Обычный 421 3" xfId="226"/>
    <cellStyle name="Обычный 439" xfId="125"/>
    <cellStyle name="Обычный 439 2" xfId="147"/>
    <cellStyle name="Обычный 439 2 2" xfId="251"/>
    <cellStyle name="Обычный 439 3" xfId="231"/>
    <cellStyle name="Обычный 449" xfId="126"/>
    <cellStyle name="Обычный 449 2" xfId="138"/>
    <cellStyle name="Обычный 449 2 2" xfId="244"/>
    <cellStyle name="Обычный 449 3" xfId="232"/>
    <cellStyle name="Обычный 452" xfId="139"/>
    <cellStyle name="Обычный 452 2" xfId="245"/>
    <cellStyle name="Обычный 456" xfId="140"/>
    <cellStyle name="Обычный 456 2" xfId="246"/>
    <cellStyle name="Обычный 460" xfId="127"/>
    <cellStyle name="Обычный 460 2" xfId="148"/>
    <cellStyle name="Обычный 460 2 2" xfId="252"/>
    <cellStyle name="Обычный 460 3" xfId="233"/>
    <cellStyle name="Обычный 465" xfId="128"/>
    <cellStyle name="Обычный 465 2" xfId="149"/>
    <cellStyle name="Обычный 465 2 2" xfId="253"/>
    <cellStyle name="Обычный 465 3" xfId="234"/>
    <cellStyle name="Обычный 469" xfId="152"/>
    <cellStyle name="Обычный 469 2" xfId="256"/>
    <cellStyle name="Обычный 482" xfId="171"/>
    <cellStyle name="Обычный 482 2" xfId="275"/>
    <cellStyle name="Обычный 5" xfId="106"/>
    <cellStyle name="Обычный 5 2" xfId="111"/>
    <cellStyle name="Обычный 507" xfId="169"/>
    <cellStyle name="Обычный 507 2" xfId="273"/>
    <cellStyle name="Обычный 508" xfId="170"/>
    <cellStyle name="Обычный 508 2" xfId="274"/>
    <cellStyle name="Обычный 523" xfId="172"/>
    <cellStyle name="Обычный 523 2" xfId="276"/>
    <cellStyle name="Обычный 6" xfId="108"/>
    <cellStyle name="Обычный 6 2" xfId="112"/>
    <cellStyle name="Обычный 7" xfId="113"/>
    <cellStyle name="Обычный 8" xfId="114"/>
    <cellStyle name="Обычный 9" xfId="116"/>
    <cellStyle name="Обычный_Запасы и ресурсы" xfId="181"/>
    <cellStyle name="Процентный" xfId="1" builtinId="5"/>
    <cellStyle name="Процентный 2" xfId="18"/>
    <cellStyle name="Процентный 2 2" xfId="15"/>
    <cellStyle name="Процентный 2 2 2" xfId="61"/>
    <cellStyle name="Процентный 2 2 2 2" xfId="84"/>
    <cellStyle name="Процентный 2 2 2 2 2" xfId="219"/>
    <cellStyle name="Процентный 2 2 2 3" xfId="197"/>
    <cellStyle name="Процентный 2 2 3" xfId="73"/>
    <cellStyle name="Процентный 2 2 3 2" xfId="208"/>
    <cellStyle name="Процентный 2 2 4" xfId="95"/>
    <cellStyle name="Процентный 2 2 5" xfId="186"/>
    <cellStyle name="Процентный 2 3" xfId="14"/>
    <cellStyle name="Процентный 2 3 2" xfId="56"/>
    <cellStyle name="Процентный 2 3 2 2" xfId="67"/>
    <cellStyle name="Процентный 2 3 2 2 2" xfId="90"/>
    <cellStyle name="Процентный 2 3 2 2 2 2" xfId="225"/>
    <cellStyle name="Процентный 2 3 2 2 3" xfId="203"/>
    <cellStyle name="Процентный 2 3 2 3" xfId="79"/>
    <cellStyle name="Процентный 2 3 2 3 2" xfId="214"/>
    <cellStyle name="Процентный 2 3 2 4" xfId="192"/>
    <cellStyle name="Процентный 2 3 3" xfId="60"/>
    <cellStyle name="Процентный 2 3 3 2" xfId="83"/>
    <cellStyle name="Процентный 2 3 3 2 2" xfId="218"/>
    <cellStyle name="Процентный 2 3 3 3" xfId="196"/>
    <cellStyle name="Процентный 2 3 4" xfId="72"/>
    <cellStyle name="Процентный 2 3 4 2" xfId="207"/>
    <cellStyle name="Процентный 2 3 5" xfId="185"/>
    <cellStyle name="Процентный 2 4" xfId="63"/>
    <cellStyle name="Процентный 2 4 2" xfId="86"/>
    <cellStyle name="Процентный 2 4 2 2" xfId="221"/>
    <cellStyle name="Процентный 2 4 3" xfId="199"/>
    <cellStyle name="Процентный 2 5" xfId="75"/>
    <cellStyle name="Процентный 2 5 2" xfId="210"/>
    <cellStyle name="Процентный 2 6" xfId="99"/>
    <cellStyle name="Процентный 2 7" xfId="188"/>
    <cellStyle name="Процентный 3" xfId="123"/>
    <cellStyle name="Процентный 3 2" xfId="173"/>
    <cellStyle name="Процентный 3 2 2" xfId="277"/>
    <cellStyle name="Процентный 4" xfId="124"/>
    <cellStyle name="Процентный 5" xfId="119"/>
    <cellStyle name="Процентный 6" xfId="97"/>
    <cellStyle name="Процентный 6 2" xfId="143"/>
    <cellStyle name="Процентный 6 2 2" xfId="247"/>
    <cellStyle name="Процентный 6 3" xfId="227"/>
    <cellStyle name="Процентный 7" xfId="131"/>
    <cellStyle name="Процентный 7 2" xfId="166"/>
    <cellStyle name="Процентный 7 2 2" xfId="270"/>
    <cellStyle name="Процентный 7 3" xfId="142"/>
    <cellStyle name="Процентный 7 4" xfId="237"/>
    <cellStyle name="Процентный 8" xfId="134"/>
    <cellStyle name="Процентный 8 2" xfId="240"/>
    <cellStyle name="Процентный 9" xfId="92"/>
    <cellStyle name="Финансовый" xfId="10" builtinId="3"/>
    <cellStyle name="Финансовый 2" xfId="19"/>
    <cellStyle name="Финансовый 2 2" xfId="64"/>
    <cellStyle name="Финансовый 2 2 2" xfId="87"/>
    <cellStyle name="Финансовый 2 2 2 2" xfId="180"/>
    <cellStyle name="Финансовый 2 2 2 2 2" xfId="279"/>
    <cellStyle name="Финансовый 2 2 2 3" xfId="222"/>
    <cellStyle name="Финансовый 2 2 3" xfId="121"/>
    <cellStyle name="Финансовый 2 2 4" xfId="200"/>
    <cellStyle name="Финансовый 2 3" xfId="76"/>
    <cellStyle name="Финансовый 2 3 2" xfId="211"/>
    <cellStyle name="Финансовый 2 4" xfId="103"/>
    <cellStyle name="Финансовый 2 5" xfId="189"/>
    <cellStyle name="Финансовый 3" xfId="102"/>
    <cellStyle name="Финансовый 3 2" xfId="109"/>
    <cellStyle name="Финансовый 3 3" xfId="94"/>
    <cellStyle name="Финансовый 3 4" xfId="178"/>
    <cellStyle name="Финансовый 4" xfId="117"/>
    <cellStyle name="Финансовый 4 10" xfId="167"/>
    <cellStyle name="Финансовый 4 10 2" xfId="271"/>
    <cellStyle name="Финансовый 4 11" xfId="145"/>
    <cellStyle name="Финансовый 4 11 2" xfId="249"/>
    <cellStyle name="Финансовый 4 12" xfId="229"/>
    <cellStyle name="Финансовый 4 2" xfId="118"/>
    <cellStyle name="Финансовый 4 2 10" xfId="146"/>
    <cellStyle name="Финансовый 4 2 10 2" xfId="250"/>
    <cellStyle name="Финансовый 4 2 11" xfId="230"/>
    <cellStyle name="Финансовый 4 2 2" xfId="151"/>
    <cellStyle name="Финансовый 4 2 2 2" xfId="255"/>
    <cellStyle name="Финансовый 4 2 3" xfId="154"/>
    <cellStyle name="Финансовый 4 2 3 2" xfId="258"/>
    <cellStyle name="Финансовый 4 2 4" xfId="156"/>
    <cellStyle name="Финансовый 4 2 4 2" xfId="260"/>
    <cellStyle name="Финансовый 4 2 5" xfId="158"/>
    <cellStyle name="Финансовый 4 2 5 2" xfId="262"/>
    <cellStyle name="Финансовый 4 2 6" xfId="160"/>
    <cellStyle name="Финансовый 4 2 6 2" xfId="264"/>
    <cellStyle name="Финансовый 4 2 7" xfId="162"/>
    <cellStyle name="Финансовый 4 2 7 2" xfId="266"/>
    <cellStyle name="Финансовый 4 2 8" xfId="164"/>
    <cellStyle name="Финансовый 4 2 8 2" xfId="268"/>
    <cellStyle name="Финансовый 4 2 9" xfId="168"/>
    <cellStyle name="Финансовый 4 2 9 2" xfId="272"/>
    <cellStyle name="Финансовый 4 3" xfId="150"/>
    <cellStyle name="Финансовый 4 3 2" xfId="254"/>
    <cellStyle name="Финансовый 4 4" xfId="153"/>
    <cellStyle name="Финансовый 4 4 2" xfId="257"/>
    <cellStyle name="Финансовый 4 5" xfId="155"/>
    <cellStyle name="Финансовый 4 5 2" xfId="259"/>
    <cellStyle name="Финансовый 4 6" xfId="157"/>
    <cellStyle name="Финансовый 4 6 2" xfId="261"/>
    <cellStyle name="Финансовый 4 7" xfId="159"/>
    <cellStyle name="Финансовый 4 7 2" xfId="263"/>
    <cellStyle name="Финансовый 4 8" xfId="161"/>
    <cellStyle name="Финансовый 4 8 2" xfId="265"/>
    <cellStyle name="Финансовый 4 9" xfId="163"/>
    <cellStyle name="Финансовый 4 9 2" xfId="267"/>
    <cellStyle name="Финансовый 5" xfId="177"/>
    <cellStyle name="Финансовый 8" xfId="175"/>
  </cellStyles>
  <dxfs count="0"/>
  <tableStyles count="0" defaultTableStyle="TableStyleMedium2" defaultPivotStyle="PivotStyleLight16"/>
  <colors>
    <mruColors>
      <color rgb="FF4981B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calcChain" Target="calcChain.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FPMExcelClientSheetOptionstb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552450</xdr:colOff>
      <xdr:row>1</xdr:row>
      <xdr:rowOff>95250</xdr:rowOff>
    </xdr:from>
    <xdr:to>
      <xdr:col>1</xdr:col>
      <xdr:colOff>1300664</xdr:colOff>
      <xdr:row>4</xdr:row>
      <xdr:rowOff>129143</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57175"/>
          <a:ext cx="1338764" cy="5196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1057275</xdr:colOff>
          <xdr:row>0</xdr:row>
          <xdr:rowOff>0</xdr:rowOff>
        </xdr:to>
        <xdr:sp macro="" textlink="">
          <xdr:nvSpPr>
            <xdr:cNvPr id="537601" name="FPMExcelClientSheetOptionstb1" hidden="1">
              <a:extLst>
                <a:ext uri="{63B3BB69-23CF-44E3-9099-C40C66FF867C}">
                  <a14:compatExt spid="_x0000_s53760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4129" name="FPMExcelClientSheetOptionstb1" hidden="1">
              <a:extLst>
                <a:ext uri="{63B3BB69-23CF-44E3-9099-C40C66FF867C}">
                  <a14:compatExt spid="_x0000_s3041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5153" name="FPMExcelClientSheetOptionstb1" hidden="1">
              <a:extLst>
                <a:ext uri="{63B3BB69-23CF-44E3-9099-C40C66FF867C}">
                  <a14:compatExt spid="_x0000_s3051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6177" name="FPMExcelClientSheetOptionstb1" hidden="1">
              <a:extLst>
                <a:ext uri="{63B3BB69-23CF-44E3-9099-C40C66FF867C}">
                  <a14:compatExt spid="_x0000_s3061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9249" name="FPMExcelClientSheetOptionstb1" hidden="1">
              <a:extLst>
                <a:ext uri="{63B3BB69-23CF-44E3-9099-C40C66FF867C}">
                  <a14:compatExt spid="_x0000_s3092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46817" name="FPMExcelClientSheetOptionstb1" hidden="1">
              <a:extLst>
                <a:ext uri="{63B3BB69-23CF-44E3-9099-C40C66FF867C}">
                  <a14:compatExt spid="_x0000_s5468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3169" name="FPMExcelClientSheetOptionstb1" hidden="1">
              <a:extLst>
                <a:ext uri="{63B3BB69-23CF-44E3-9099-C40C66FF867C}">
                  <a14:compatExt spid="_x0000_s2631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4193" name="FPMExcelClientSheetOptionstb1" hidden="1">
              <a:extLst>
                <a:ext uri="{63B3BB69-23CF-44E3-9099-C40C66FF867C}">
                  <a14:compatExt spid="_x0000_s2641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18113" name="FPMExcelClientSheetOptionstb1" hidden="1">
              <a:extLst>
                <a:ext uri="{63B3BB69-23CF-44E3-9099-C40C66FF867C}">
                  <a14:compatExt spid="_x0000_s2181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75809" name="FPMExcelClientSheetOptionstb1" hidden="1">
              <a:extLst>
                <a:ext uri="{63B3BB69-23CF-44E3-9099-C40C66FF867C}">
                  <a14:compatExt spid="_x0000_s3758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2145" name="FPMExcelClientSheetOptionstb1" hidden="1">
              <a:extLst>
                <a:ext uri="{63B3BB69-23CF-44E3-9099-C40C66FF867C}">
                  <a14:compatExt spid="_x0000_s262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10273" name="FPMExcelClientSheetOptionstb1" hidden="1">
              <a:extLst>
                <a:ext uri="{63B3BB69-23CF-44E3-9099-C40C66FF867C}">
                  <a14:compatExt spid="_x0000_s3102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38273" name="FPMExcelClientSheetOptionstb1" hidden="1">
              <a:extLst>
                <a:ext uri="{63B3BB69-23CF-44E3-9099-C40C66FF867C}">
                  <a14:compatExt spid="_x0000_s4382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23233" name="FPMExcelClientSheetOptionstb1" hidden="1">
              <a:extLst>
                <a:ext uri="{63B3BB69-23CF-44E3-9099-C40C66FF867C}">
                  <a14:compatExt spid="_x0000_s2232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ornickel.ru/Documents%20and%20Settings/OVMalovetskaya/Local%20Settings/Temporary%20Internet%20Files/OLKC9/1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nornickel.ru/Users/mkosiakova/Documents/Norilsk%20Nickel/ZOKS/&#1054;&#1090;&#1095;&#1077;&#1090;&#1099;/September/Data%20book_August%202015_original%20(&#1101;&#1090;&#1072;&#1083;&#1086;&#108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qfs03\FinContrPPM\DOCUME~1\MRoberts\LOCALS~1\Temp\C.Lotus.Notes.Data\&#1054;&#1089;&#1085;&#1086;&#1074;&#1085;&#1099;&#1077;%20&#1090;&#1072;&#1088;&#1080;&#1092;&#1099;%20&#1085;&#1072;%202003&#10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qcl\bs\WINDOWS\TEMP\C.Lotus.Notes.Data\ExpressPLExport_OL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QCL\fincontr\Consolidation\2001_6months\Models\3d_tier\Tier3_6m2001_23.1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qfs04\fincontr\01%20Reporting\2009_09\06_Adjustments\06_02_Downstream\Support\DS%20NB_08_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qfs04\fincontr\01%20Reporting\2006_13\02_HE_Reports\BS_PL_new_lines_v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076;&#1072;&#1085;&#1085;&#1099;&#1077;"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qcl\bs\&#1041;&#1080;&#1079;&#1085;&#1077;&#1089;-&#1087;&#1083;&#1072;&#1085;%202004\&#1042;&#1072;&#1088;&#1080;&#1072;&#1085;&#1090;%20&#1086;&#1090;%2017.10.03\&#1089;&#1074;&#1086;&#1076;_&#1041;&#1083;&#1086;&#1082;&#1072;_18_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qfs04\fincontr\Consolidation\2005\02%20-%20February%202005\01%20-%20Upstream\02%20-%20Adjustments\1502%20-%20Udmurtneft\1502%20-%20UDN%20-%202005%20Marc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nornickel.ru/Documents%20and%20Settings/yefrolova/My%20Documents/CC_Reclass_09m2010_v1%200%20(PwC)%202%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ornickel.ru/Documents%20and%20Settings/VVYermakov/&#1052;&#1086;&#1080;%20&#1076;&#1086;&#1082;&#1091;&#1084;&#1077;&#1085;&#1090;&#1099;/Economics,%20CI%20&amp;%20IR/5%20Year%20Plan%20Deliverables/5y%20FINAL%2014%20MAY%202004/$25%20and%20Base%20Transneft%20correc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qfs06\SRB\Documents%20and%20Settings\VVYermakov\&#1052;&#1086;&#1080;%20&#1076;&#1086;&#1082;&#1091;&#1084;&#1077;&#1085;&#1090;&#1099;\Economics,%20CI%20&amp;%20IR\Economic\Planning%20assumptions%20model\Building%20blocks\2005%20Model%2036.5-33-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www.nornickel.ru/Documents%20and%20Settings/PSOstapenko.HQ/Local%20Settings/Temporary%20Internet%20Files/OLK16A/Assumptions%20Dataset_v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qfs04\fincontr\Documents%20and%20Settings\abludov\My%20Documents\Projects\Sidanco\Final\CashFlow\X-gain%20test%20Len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qfs04\fincontr\Consolidation\2005\05%20-%20May%202005\01%20-%20Upstream\Adjustments\Adjustments\1104%20-%20VNG\1104%20-%20VNG%20-%202005%20Marc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qfs03\FinContrPPM\&#1041;&#1102;&#1076;&#1078;&#1077;&#1090;%202005\Consolidated%20Budget%20Third%20Feed\CFO_Total_15_11_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qfs03\FinContrPPM\&#1060;&#1072;&#1082;&#1090;%202004\&#1060;&#1072;&#1082;&#1090;%20RO%202004\Dink-Invest\&#1060;&#1072;&#1082;&#1090;%20Dink-Inv%20200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www.nornickel.ru/01%20Reporting/2011/2011_06/06_Adjustments/06_02_Downstream/Transport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fs04\fincontr\01%20Reporting\2009_09\UPT_Upstream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QFS04\FINCONTR\Documents%20and%20Settings\eayankovskaya\Local%20Settings\Temporary%20Internet%20Files\OLK58\Upload_2411_1-5%202008(&#1087;&#1086;%20&#1054;&#105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fs04\fincontr\MyClients%20Data\TNK-BP\TNK-HO_12m\HO\TNK_H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fs04\fincontr\01%20Reporting\2008_02\06_Adjustments\06_05_Downstream\Journals_DS_02m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fs04\fincontr\Corporate%20control_GA\Budget_CFO\2006_GFO_reports\GFO-1%20update\headcount\results\New_projec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qfs06\SRB\Strategy%20&amp;%20Portfolio\Downstream\PROJECTS\Ad-hoc\Condensate\END%202004\5-year_plan_12_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nornickel.ru/Fincontr/01%20Reporting/2011/2011_06/07_Analytical_Review/07_9_Group/AR%2006m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2)"/>
      <sheetName val="по всем МВЗ(вал)"/>
      <sheetName val="по всем МВЗ(руб)"/>
      <sheetName val="RSOILBAL"/>
      <sheetName val="5_Excise (Q)"/>
      <sheetName val="9.Income tax"/>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 FINANCIAL HIGHLIGHTS"/>
      <sheetName val="SELECTED FINANCIAL RATIOS"/>
      <sheetName val="INCOME STATEMENT"/>
      <sheetName val="REVENUE BREAKDOWN"/>
      <sheetName val="EBITDA CALCULATION"/>
      <sheetName val="COST BREAKDOWN"/>
      <sheetName val="COST BREAKDOWN BY REGION"/>
      <sheetName val="BALANCE "/>
      <sheetName val="CASH FLOW STATEMENT"/>
      <sheetName val="WORKING CAPITAL"/>
      <sheetName val="CAPEX BREAKDOWN"/>
      <sheetName val="DEBT AND LIQUIDITY "/>
      <sheetName val="METAL SALES&amp;PRICES"/>
      <sheetName val="PRODUCTION DATA"/>
      <sheetName val="OTHER OPERATING DATA "/>
      <sheetName val="Лист1"/>
    </sheetNames>
    <sheetDataSet>
      <sheetData sheetId="0">
        <row r="23">
          <cell r="B23" t="str">
            <v>COST BREAKDOWN BY REGION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орт"/>
      <sheetName val="вн. рынок"/>
      <sheetName val="вн. рын разовое"/>
      <sheetName val="экспорт нарастающее"/>
      <sheetName val="вн. рынок нарастающий"/>
      <sheetName val="Лист3"/>
      <sheetName val="Лист4"/>
      <sheetName val="Лист5"/>
      <sheetName val="P&amp;L_2002"/>
      <sheetName val="P&amp;L_БП_2003"/>
      <sheetName val="PL"/>
      <sheetName val="Факт Dink-Inv 2004"/>
      <sheetName val="фзп"/>
      <sheetName val="содержание офиса"/>
      <sheetName val="GRAPHS"/>
      <sheetName val="Справочники"/>
      <sheetName val="PL_M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tructure"/>
      <sheetName val="Key operating measures"/>
      <sheetName val="Upstream operating measures"/>
      <sheetName val="Downstream operating measures"/>
      <sheetName val="Marketing operating measures"/>
      <sheetName val="PL"/>
      <sheetName val="PL_MAP"/>
      <sheetName val="Revenues"/>
      <sheetName val="PL by segments"/>
      <sheetName val="OPEX by segments"/>
      <sheetName val="OPEX"/>
      <sheetName val="Downstream OPEX+GA"/>
      <sheetName val="Upstream OPEX+GA"/>
      <sheetName val="OPEX_MAP"/>
      <sheetName val="GA"/>
      <sheetName val="SD"/>
      <sheetName val="Full costs - upstream"/>
      <sheetName val="Oil balance"/>
      <sheetName val="PL Upstream by companies"/>
      <sheetName val="CAPEX By companies"/>
      <sheetName val="CAPEX by types"/>
      <sheetName val="Production"/>
      <sheetName val="Taxes"/>
      <sheetName val="Headcount"/>
      <sheetName val="Working sheet"/>
      <sheetName val="Tech"/>
      <sheetName val="parameters"/>
      <sheetName val="1_HC&amp;PAYROLL"/>
      <sheetName val="2_CONS&amp;OH"/>
      <sheetName val="3_RESULTS"/>
      <sheetName val="Справочники"/>
      <sheetName val="la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AS$old"/>
      <sheetName val="IAS vs US GAAP"/>
      <sheetName val="Fixed-Current"/>
      <sheetName val="IAS$"/>
      <sheetName val="US_GAAP$"/>
      <sheetName val="Cons_Journals"/>
      <sheetName val="MI &amp; GW2001"/>
      <sheetName val="Ch in RE"/>
      <sheetName val="MI &amp; GW 99"/>
      <sheetName val="CF6m2001"/>
      <sheetName val="DT2001"/>
      <sheetName val="MGproof"/>
      <sheetName val="MI_RE_roll2000"/>
      <sheetName val="MI_RE_roll 99"/>
      <sheetName val="DT99"/>
      <sheetName val="CF99"/>
      <sheetName val="Bdown"/>
      <sheetName val="AuditTrail"/>
      <sheetName val="Auxiliary"/>
      <sheetName val="Mac_1"/>
      <sheetName val="Breakdown"/>
      <sheetName val="Доходы 1 кв"/>
      <sheetName val="Прочие 1 кв"/>
      <sheetName val="Себестоимость 1кв"/>
      <sheetName val="lang"/>
      <sheetName val="НЕДЕЛИ"/>
      <sheetName val="Proforma Brick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Main"/>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ies_summary"/>
      <sheetName val="Accounts_summary"/>
      <sheetName val="POV"/>
      <sheetName val="POV_PL"/>
      <sheetName val="POV_BS"/>
      <sheetName val="PL_12m06"/>
      <sheetName val="BS_12m06"/>
      <sheetName val="Main"/>
    </sheetNames>
    <sheetDataSet>
      <sheetData sheetId="0"/>
      <sheetData sheetId="1"/>
      <sheetData sheetId="2" refreshError="1">
        <row r="1">
          <cell r="A1" t="str">
            <v>M.CTD</v>
          </cell>
        </row>
      </sheetData>
      <sheetData sheetId="3"/>
      <sheetData sheetId="4"/>
      <sheetData sheetId="5"/>
      <sheetData sheetId="6"/>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08_НЗС"/>
      <sheetName val="экспорт"/>
      <sheetName val="Cover"/>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НВТ-СНГ"/>
      <sheetName val="IC-НВТ-ЮГН"/>
      <sheetName val="IC-НВТ-ТН"/>
      <sheetName val="IC-НВТ-ВНГ"/>
      <sheetName val="IC-НВТ-ННП"/>
      <sheetName val="IC-НВТ-ННГ"/>
      <sheetName val="IC-НВТ-РП"/>
      <sheetName val="IC-НВС-СНГ"/>
      <sheetName val="IC-НВС-ЮГН"/>
      <sheetName val="IC-НВС-ТН"/>
      <sheetName val="IC-НВС-ВНГ"/>
      <sheetName val="IC-НВС-ННГ"/>
      <sheetName val="IC-ОНК-ОН"/>
      <sheetName val="IC-ОНК-ОНГ"/>
      <sheetName val="IC-САР-ВНГ"/>
      <sheetName val="IC-САР-САР"/>
      <sheetName val="IC-НЯГ-НЯГ"/>
      <sheetName val="IC-Иж-УН"/>
      <sheetName val="IC-СВОД"/>
      <sheetName val="perimeter ENG"/>
      <sheetName val="perimeter"/>
      <sheetName val="P&amp;L-presentation USD ENG"/>
      <sheetName val="Revenue-regions ENG"/>
      <sheetName val="Factor analysis table"/>
      <sheetName val="Factor analysis table USD ENG"/>
      <sheetName val="Factor analysis table USD"/>
      <sheetName val="Factor analysis diagram (2) ENG"/>
      <sheetName val="Factor analysis diagram (2)"/>
      <sheetName val="Factor analysis diagram"/>
      <sheetName val="Factor analysis - revenue (s)"/>
      <sheetName val="Factor analysis - revenue ENG"/>
      <sheetName val="Factor analysis - revenue (t)"/>
      <sheetName val="Factor analysis - rev (d) ENG"/>
      <sheetName val="Factor analysis  - revenue (d)"/>
      <sheetName val="Lease-regions"/>
      <sheetName val="P&amp;L - breakdown"/>
      <sheetName val="P&amp;L-quarterly USD"/>
      <sheetName val="P&amp;L-presentation USD"/>
      <sheetName val="P&amp;L-presentation"/>
      <sheetName val="P&amp;L-НВ(ТНК)"/>
      <sheetName val="P&amp;L-НВ(СД)"/>
      <sheetName val="P&amp;L-ОРЕНБ"/>
      <sheetName val="P&amp;L-САРАТОВ"/>
      <sheetName val="P&amp;L-Ижевск"/>
      <sheetName val="P&amp;L-НЯГАНЬ"/>
      <sheetName val="Revenue-presentation"/>
      <sheetName val="Projects ENG"/>
      <sheetName val="Projects"/>
      <sheetName val="CAPEX-presentation USD"/>
      <sheetName val="CAPEX-presentation"/>
      <sheetName val="Revenue-present1 ENG"/>
      <sheetName val="Revenue-present1"/>
      <sheetName val="Revenue-regions"/>
      <sheetName val="Revenue-volumes"/>
      <sheetName val="Revenue-OpProfit"/>
      <sheetName val="OPEX+ADMIN Table"/>
      <sheetName val="PBT"/>
      <sheetName val="ADMIN"/>
      <sheetName val="OPEX"/>
      <sheetName val="Factor analysis - Drilling ENG"/>
      <sheetName val="Factor analysis - Drilling (t)"/>
      <sheetName val="Drilling (d) ENG"/>
      <sheetName val="Drilling (d) RUS"/>
      <sheetName val="Factor analysis - Workover ENG"/>
      <sheetName val="Factor analysis - Workover"/>
      <sheetName val="Workover ENG"/>
      <sheetName val="Workover RUS"/>
      <sheetName val="Factor analysis - Cur W ENG"/>
      <sheetName val="Factor analysis - Cur Workover"/>
      <sheetName val="Cur Workover ENG"/>
      <sheetName val="Cur Workover RUS"/>
      <sheetName val="Factor analysis - Transport ENG"/>
      <sheetName val="Factor analysis - Transport"/>
      <sheetName val="Transport ENG"/>
      <sheetName val="Transport RUS"/>
      <sheetName val="Factor analysis - ESP ENG"/>
      <sheetName val="Factor analysis - ESP"/>
      <sheetName val="ESP ENG"/>
      <sheetName val="ESP RUS"/>
      <sheetName val="Анализ"/>
      <sheetName val="Личный номер"/>
      <sheetName val="Список предприятий"/>
      <sheetName val="Параметры"/>
      <sheetName val="Пояснения"/>
      <sheetName val="Таблица ошибок"/>
      <sheetName val="P&amp;L-геофизика"/>
      <sheetName val="P&amp;L-экспл. бур. стр."/>
      <sheetName val="P&amp;L-экспл. бур."/>
      <sheetName val="P&amp;L-экспл. бур. осв."/>
      <sheetName val="P&amp;L-экспл. бур.-свод"/>
      <sheetName val="P&amp;L-разв. бур. стр."/>
      <sheetName val="P&amp;L-разв. бур."/>
      <sheetName val="P&amp;L-разв. бур. осв."/>
      <sheetName val="P&amp;L-разв. бур.-свод"/>
      <sheetName val="P&amp;L-КРС"/>
      <sheetName val="P&amp;L-ТРС"/>
      <sheetName val="P&amp;L-ПНП"/>
      <sheetName val="P&amp;L-ГРП"/>
      <sheetName val="P&amp;L-рем. НКТ"/>
      <sheetName val="P&amp;L-обсл. УЭЦН"/>
      <sheetName val="P&amp;L-проч. ремонт"/>
      <sheetName val="P&amp;L-ремонт свод"/>
      <sheetName val="P&amp;L-строительство"/>
      <sheetName val="P&amp;L-транспорт"/>
      <sheetName val="P&amp;L-теплоснабжение"/>
      <sheetName val="P&amp;L-водоснабжение"/>
      <sheetName val="P&amp;L-прокат электроэнергии"/>
      <sheetName val="P&amp;L-аренда"/>
      <sheetName val="P&amp;L-МТО"/>
      <sheetName val="P&amp;L-прочее"/>
      <sheetName val="P&amp;L-свод"/>
      <sheetName val="P&amp;L-свод (конс)"/>
      <sheetName val="ист"/>
      <sheetName val="PL_MAP"/>
      <sheetName val="Interco-услуги"/>
      <sheetName val="КВ-СОБИ"/>
      <sheetName val="КВ-проекты"/>
      <sheetName val="Возмещение НДС-КВ"/>
      <sheetName val="Налоги-начисление"/>
      <sheetName val="Налоги-платежи"/>
      <sheetName val="Финплан-прямой"/>
      <sheetName val="Расшифровки"/>
      <sheetName val="Финплан-косвенный"/>
      <sheetName val="Оборотный капитал"/>
      <sheetName val="ТЭП-бурение"/>
      <sheetName val="ТЭП-КТРС"/>
      <sheetName val="ТЭП-ОРН"/>
      <sheetName val="ТЭП-строительство"/>
      <sheetName val="ТЭП-транспорт"/>
      <sheetName val="ТЭП-энергоснабжение"/>
      <sheetName val="Выверка"/>
      <sheetName val="lang"/>
      <sheetName val="analysis"/>
      <sheetName val="НЕДЕЛИ"/>
      <sheetName val="Main"/>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PL_inf"/>
      <sheetName val="Infl_fact"/>
      <sheetName val="Index"/>
      <sheetName val="Equity rec'n"/>
      <sheetName val="Data"/>
      <sheetName val="Mapping_RAS-to-GAAP"/>
      <sheetName val="Mapping_GAAP-to-Pyramid"/>
      <sheetName val="Main"/>
      <sheetName val="RSA_FS"/>
      <sheetName val="Journals"/>
      <sheetName val="Journals - backup"/>
      <sheetName val="US_GAAP"/>
      <sheetName val="HE_PL"/>
      <sheetName val="HE_BS"/>
      <sheetName val="Def Tax"/>
      <sheetName val="CHECK!"/>
      <sheetName val="Recon"/>
      <sheetName val="FA_1"/>
      <sheetName val="Inv_1"/>
      <sheetName val="Auxiliary"/>
      <sheetName val="Mac_1"/>
      <sheetName val="Break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0">
          <cell r="B10">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s"/>
      <sheetName val="LU_Info"/>
      <sheetName val="Info"/>
      <sheetName val="Инструкция"/>
      <sheetName val="Agregated"/>
      <sheetName val="рекласс свод"/>
      <sheetName val="Inp_LT"/>
      <sheetName val="Inp_ST"/>
      <sheetName val="Inp_AR"/>
      <sheetName val="сверка периметра"/>
      <sheetName val="Netting"/>
      <sheetName val="Extract"/>
    </sheetNames>
    <sheetDataSet>
      <sheetData sheetId="0"/>
      <sheetData sheetId="1" refreshError="1"/>
      <sheetData sheetId="2">
        <row r="7">
          <cell r="C7" t="str">
            <v>Financial</v>
          </cell>
        </row>
        <row r="8">
          <cell r="C8" t="str">
            <v>Other</v>
          </cell>
        </row>
        <row r="13">
          <cell r="C13" t="str">
            <v>n/a</v>
          </cell>
        </row>
        <row r="14">
          <cell r="C14" t="str">
            <v>Low</v>
          </cell>
        </row>
        <row r="15">
          <cell r="C15" t="str">
            <v>Moderate</v>
          </cell>
        </row>
        <row r="16">
          <cell r="C16" t="str">
            <v>High</v>
          </cell>
        </row>
        <row r="20">
          <cell r="C20" t="str">
            <v>Insignificant</v>
          </cell>
        </row>
        <row r="21">
          <cell r="C21" t="str">
            <v>Significant</v>
          </cell>
        </row>
      </sheetData>
      <sheetData sheetId="3">
        <row r="5">
          <cell r="C5" t="str">
            <v>JAN 10</v>
          </cell>
        </row>
        <row r="6">
          <cell r="C6" t="str">
            <v>FEB 10</v>
          </cell>
        </row>
        <row r="7">
          <cell r="C7" t="str">
            <v>MAR 10</v>
          </cell>
        </row>
        <row r="8">
          <cell r="C8" t="str">
            <v>APR 10</v>
          </cell>
        </row>
        <row r="9">
          <cell r="C9" t="str">
            <v>MAY 10</v>
          </cell>
        </row>
        <row r="10">
          <cell r="C10" t="str">
            <v>JUN 10</v>
          </cell>
        </row>
        <row r="11">
          <cell r="C11" t="str">
            <v>JLY 10</v>
          </cell>
        </row>
        <row r="12">
          <cell r="C12" t="str">
            <v>AUG 10</v>
          </cell>
        </row>
        <row r="13">
          <cell r="C13" t="str">
            <v>SEP 10</v>
          </cell>
        </row>
        <row r="14">
          <cell r="C14" t="str">
            <v>OCT 10</v>
          </cell>
        </row>
        <row r="15">
          <cell r="C15" t="str">
            <v>NOV 10</v>
          </cell>
        </row>
        <row r="16">
          <cell r="C16" t="str">
            <v>DEC 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chart data"/>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RSOILBAL"/>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5_Excise (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chart data"/>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RSOILBAL"/>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Materials"/>
      <sheetName val="Production Profile_new "/>
      <sheetName val="$60 Case_STL (30)"/>
      <sheetName val="5_Excise (Q)"/>
      <sheetName val="Данные"/>
      <sheetName val="MAIN_PARAMETERS"/>
      <sheetName val="EKDEB90"/>
      <sheetName val="bridge"/>
      <sheetName val="DIF-6"/>
      <sheetName val="Main"/>
      <sheetName val="FY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Tariffs FO 2005 (Argus)"/>
      <sheetName val="Rail Tariffs 2005 Crude (Argus)"/>
      <sheetName val="Transp tariffs Jan 2005"/>
      <sheetName val="transneft BASE"/>
      <sheetName val="USDParity"/>
      <sheetName val="Rus Balances 2000-25"/>
      <sheetName val="Production by oil province (KR)"/>
      <sheetName val="Production by oil province"/>
      <sheetName val="MAIN_PARAMETERS"/>
      <sheetName val="&lt;&lt;&lt;"/>
      <sheetName val="Input Valuation"/>
      <sheetName val="DomesticDemand"/>
      <sheetName val="ExportDemand"/>
      <sheetName val="&gt;&gt;&gt;"/>
      <sheetName val="2006-10 Netbacks reconciliation"/>
      <sheetName val="Netback by channels"/>
      <sheetName val="Transporation $30 Brent 5y"/>
      <sheetName val="Oil balance 2000-04 (KR)"/>
      <sheetName val="Oil balance 2000-04"/>
      <sheetName val="Gasoline 2000-2004"/>
      <sheetName val="Diesel 2000-04"/>
      <sheetName val="Fuel Oil 2000-04 "/>
      <sheetName val="Jet Fuel 2000-2004"/>
      <sheetName val="TranspTariffs"/>
      <sheetName val="Rail Tariffs TA"/>
      <sheetName val="Gas and electricity prices"/>
      <sheetName val="Table Exec Summary"/>
      <sheetName val="PPM Output list"/>
      <sheetName val="Nodes"/>
      <sheetName val="Perio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gain test detailed"/>
      <sheetName val="#REF"/>
      <sheetName val="Main"/>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PL_inf"/>
      <sheetName val="Infl_fact"/>
      <sheetName val="Index"/>
      <sheetName val="Data"/>
      <sheetName val="Mapping_RAS-to-GAAP"/>
      <sheetName val="Mapping_GAAP-to-Pyramid"/>
      <sheetName val="Main"/>
      <sheetName val="RSA_FS"/>
      <sheetName val="US_GAAP"/>
      <sheetName val="Equity rec'n"/>
      <sheetName val="Journals"/>
      <sheetName val="Journals_backup"/>
      <sheetName val="HE_PL"/>
      <sheetName val="HE_BS"/>
      <sheetName val="MassTrail"/>
      <sheetName val="Def Tax"/>
      <sheetName val="CHECK!"/>
      <sheetName val="Recon"/>
      <sheetName val="FA_1"/>
      <sheetName val="Inv_1"/>
      <sheetName val="Auxiliary"/>
      <sheetName val="Mac_1"/>
      <sheetName val="Break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ENTER **  LINE REF#  **</v>
          </cell>
        </row>
        <row r="3">
          <cell r="B3" t="str">
            <v>RSA Balance Sheet (Form 1)</v>
          </cell>
        </row>
        <row r="6">
          <cell r="B6" t="str">
            <v>VNG</v>
          </cell>
        </row>
        <row r="8">
          <cell r="B8" t="str">
            <v>I. Non-current assets</v>
          </cell>
        </row>
        <row r="9">
          <cell r="B9" t="str">
            <v/>
          </cell>
        </row>
        <row r="10">
          <cell r="B10" t="str">
            <v>Intangible assets (04, 05)</v>
          </cell>
        </row>
        <row r="11">
          <cell r="B11" t="str">
            <v>including:</v>
          </cell>
        </row>
        <row r="12">
          <cell r="A12" t="str">
            <v>BS111</v>
          </cell>
          <cell r="B12" t="str">
            <v>Set up costs</v>
          </cell>
        </row>
        <row r="13">
          <cell r="A13" t="str">
            <v>BS1111</v>
          </cell>
          <cell r="B13" t="str">
            <v>Goodwill</v>
          </cell>
        </row>
        <row r="14">
          <cell r="A14" t="str">
            <v>BS112</v>
          </cell>
          <cell r="B14" t="str">
            <v>Patents, licenses, trade marks and other rights and similar assets</v>
          </cell>
        </row>
        <row r="15">
          <cell r="B15" t="str">
            <v>Fixed assets (01, 02, 03)</v>
          </cell>
        </row>
        <row r="16">
          <cell r="B16" t="str">
            <v>including:</v>
          </cell>
        </row>
        <row r="17">
          <cell r="A17" t="str">
            <v>BS121</v>
          </cell>
          <cell r="B17" t="str">
            <v>Land and natural resources</v>
          </cell>
        </row>
        <row r="18">
          <cell r="A18" t="str">
            <v>BS122</v>
          </cell>
          <cell r="B18" t="str">
            <v>Buildings, machines, equipment and other fixed assets</v>
          </cell>
        </row>
        <row r="19">
          <cell r="A19" t="str">
            <v>BS1221</v>
          </cell>
          <cell r="B19" t="str">
            <v>Oil and gas properties and equipment - cost</v>
          </cell>
        </row>
        <row r="20">
          <cell r="A20" t="str">
            <v>BS1222</v>
          </cell>
          <cell r="B20" t="str">
            <v>Oil and gas properties and equipment - acc. depr.</v>
          </cell>
        </row>
        <row r="21">
          <cell r="A21" t="str">
            <v>BS1223</v>
          </cell>
          <cell r="B21" t="str">
            <v>Refining and related equipment - cost</v>
          </cell>
        </row>
        <row r="22">
          <cell r="A22" t="str">
            <v>BS1224</v>
          </cell>
          <cell r="B22" t="str">
            <v>Refining and related equipment - acc. depr.</v>
          </cell>
        </row>
        <row r="23">
          <cell r="A23" t="str">
            <v>BS1225</v>
          </cell>
          <cell r="B23" t="str">
            <v>Other fixed assets - cost</v>
          </cell>
        </row>
        <row r="24">
          <cell r="A24" t="str">
            <v>BS1226</v>
          </cell>
          <cell r="B24" t="str">
            <v>Other fixed assets - acc. depr.</v>
          </cell>
        </row>
        <row r="25">
          <cell r="A25" t="str">
            <v>BS1227</v>
          </cell>
          <cell r="B25" t="str">
            <v>SFAS 143 - cost</v>
          </cell>
        </row>
        <row r="26">
          <cell r="A26" t="str">
            <v>BS1228</v>
          </cell>
          <cell r="B26" t="str">
            <v>SFAS 143 - acc. depr.</v>
          </cell>
        </row>
        <row r="27">
          <cell r="A27" t="str">
            <v>BS1231</v>
          </cell>
          <cell r="B27" t="str">
            <v>Fair value adjustments - Oil and gas properties and equipment - cost</v>
          </cell>
        </row>
        <row r="28">
          <cell r="A28" t="str">
            <v>BS1232</v>
          </cell>
          <cell r="B28" t="str">
            <v>Fair value adjustments - Oil and gas properties and equipment - acc. depr.</v>
          </cell>
        </row>
        <row r="29">
          <cell r="A29" t="str">
            <v>BS1233</v>
          </cell>
          <cell r="B29" t="str">
            <v>Fair value adjustments - Refining and related equipment - cost</v>
          </cell>
        </row>
        <row r="30">
          <cell r="A30" t="str">
            <v>BS1234</v>
          </cell>
          <cell r="B30" t="str">
            <v>Fair value adjustments - Refining and related equipment - acc. depr.</v>
          </cell>
        </row>
        <row r="31">
          <cell r="A31" t="str">
            <v>BS1235</v>
          </cell>
          <cell r="B31" t="str">
            <v>Fair value adjustments - Other fixed assets - cost</v>
          </cell>
        </row>
        <row r="32">
          <cell r="A32" t="str">
            <v>BS1236</v>
          </cell>
          <cell r="B32" t="str">
            <v>Fair value adjustments - Other fixed assets - acc. depr.</v>
          </cell>
        </row>
        <row r="33">
          <cell r="A33" t="str">
            <v>BS130</v>
          </cell>
          <cell r="B33" t="str">
            <v>Construction in progress (07, 08, 61)</v>
          </cell>
        </row>
        <row r="34">
          <cell r="A34" t="str">
            <v>BS135</v>
          </cell>
          <cell r="B34" t="str">
            <v>Investment property</v>
          </cell>
        </row>
        <row r="35">
          <cell r="B35" t="str">
            <v>Long-term financial investments (06, 56, 82)</v>
          </cell>
        </row>
        <row r="36">
          <cell r="B36" t="str">
            <v>including:</v>
          </cell>
        </row>
        <row r="37">
          <cell r="A37" t="str">
            <v>BS141</v>
          </cell>
          <cell r="B37" t="str">
            <v>investments in subsidiary companies</v>
          </cell>
        </row>
        <row r="38">
          <cell r="A38" t="str">
            <v>BS1411</v>
          </cell>
          <cell r="B38" t="str">
            <v>Treasury shares</v>
          </cell>
        </row>
        <row r="39">
          <cell r="A39" t="str">
            <v>BS142</v>
          </cell>
          <cell r="B39" t="str">
            <v>investments in associates</v>
          </cell>
        </row>
        <row r="40">
          <cell r="A40" t="str">
            <v>BS143</v>
          </cell>
          <cell r="B40" t="str">
            <v>investments into other organizations</v>
          </cell>
        </row>
        <row r="41">
          <cell r="A41" t="str">
            <v>BS144</v>
          </cell>
          <cell r="B41" t="str">
            <v>long-term loans issued to organizations</v>
          </cell>
        </row>
        <row r="42">
          <cell r="A42" t="str">
            <v>BS145</v>
          </cell>
          <cell r="B42" t="str">
            <v>other long-term financial investments</v>
          </cell>
        </row>
        <row r="43">
          <cell r="A43" t="str">
            <v>BS146</v>
          </cell>
          <cell r="B43" t="str">
            <v>Equity method associates and JV's</v>
          </cell>
        </row>
        <row r="44">
          <cell r="A44" t="str">
            <v>BS150</v>
          </cell>
          <cell r="B44" t="str">
            <v>Other non-current assets</v>
          </cell>
        </row>
        <row r="45">
          <cell r="A45" t="str">
            <v>BS160</v>
          </cell>
          <cell r="B45" t="str">
            <v>Deferred tax - non-current asset</v>
          </cell>
        </row>
        <row r="46">
          <cell r="A46" t="str">
            <v>BS161</v>
          </cell>
          <cell r="B46" t="str">
            <v>Long term deferred income tax asset - SFAS143</v>
          </cell>
        </row>
        <row r="47">
          <cell r="B47" t="str">
            <v>Total for Section I</v>
          </cell>
        </row>
        <row r="49">
          <cell r="B49" t="str">
            <v>II. Current assets</v>
          </cell>
        </row>
        <row r="50">
          <cell r="B50" t="str">
            <v/>
          </cell>
        </row>
        <row r="51">
          <cell r="B51" t="str">
            <v>Stocks</v>
          </cell>
        </row>
        <row r="52">
          <cell r="B52" t="str">
            <v>including:</v>
          </cell>
        </row>
        <row r="53">
          <cell r="A53" t="str">
            <v>BS211</v>
          </cell>
          <cell r="B53" t="str">
            <v>raw materials, materials and other similar valuables (10, 15, 16)</v>
          </cell>
        </row>
        <row r="54">
          <cell r="A54" t="str">
            <v>BS2111</v>
          </cell>
          <cell r="B54" t="str">
            <v>Crude Oil</v>
          </cell>
        </row>
        <row r="55">
          <cell r="A55" t="str">
            <v>BS211101</v>
          </cell>
          <cell r="B55" t="str">
            <v>Petrolium Products</v>
          </cell>
        </row>
        <row r="56">
          <cell r="A56" t="str">
            <v>BS211102</v>
          </cell>
          <cell r="B56" t="str">
            <v>Gas and gas condensate</v>
          </cell>
        </row>
        <row r="57">
          <cell r="A57" t="str">
            <v>BS2112</v>
          </cell>
          <cell r="B57" t="str">
            <v>Materials and supplies</v>
          </cell>
        </row>
        <row r="58">
          <cell r="A58" t="str">
            <v>BS2113</v>
          </cell>
          <cell r="B58" t="str">
            <v>Provision for slow moving and obsolete stock</v>
          </cell>
        </row>
        <row r="59">
          <cell r="A59" t="str">
            <v>BS212</v>
          </cell>
          <cell r="B59" t="str">
            <v>feeding animals (11)</v>
          </cell>
        </row>
        <row r="60">
          <cell r="A60" t="str">
            <v>BS213</v>
          </cell>
          <cell r="B60" t="str">
            <v>low-value and short-life items (12, 13)</v>
          </cell>
        </row>
        <row r="61">
          <cell r="A61" t="str">
            <v>BS214</v>
          </cell>
          <cell r="B61" t="str">
            <v>work-in-progress (20, 21, 23, 29, 30, 36, 44)</v>
          </cell>
        </row>
        <row r="62">
          <cell r="A62" t="str">
            <v>BS215</v>
          </cell>
          <cell r="B62" t="str">
            <v>finished products and goods for resale (40, 41)</v>
          </cell>
        </row>
        <row r="63">
          <cell r="A63" t="str">
            <v>BS216</v>
          </cell>
          <cell r="B63" t="str">
            <v>goods despatched (45)</v>
          </cell>
        </row>
        <row r="64">
          <cell r="A64" t="str">
            <v>BS217</v>
          </cell>
          <cell r="B64" t="str">
            <v>future periods costs(31)</v>
          </cell>
        </row>
        <row r="65">
          <cell r="A65" t="str">
            <v>BS218</v>
          </cell>
          <cell r="B65" t="str">
            <v>other stocks and costs</v>
          </cell>
        </row>
        <row r="66">
          <cell r="A66" t="str">
            <v>BS220</v>
          </cell>
          <cell r="B66" t="str">
            <v>Recoverable value added tax - Other</v>
          </cell>
        </row>
        <row r="67">
          <cell r="A67" t="str">
            <v>BS2201</v>
          </cell>
          <cell r="B67" t="str">
            <v>Recoverable value added tax - Export</v>
          </cell>
        </row>
        <row r="68">
          <cell r="A68" t="str">
            <v>BS2202</v>
          </cell>
          <cell r="B68" t="str">
            <v>Recoverable value added tax - CAPEX</v>
          </cell>
        </row>
        <row r="69">
          <cell r="B69" t="str">
            <v/>
          </cell>
        </row>
        <row r="70">
          <cell r="B70" t="str">
            <v>Debtors falling due after more than 12 months</v>
          </cell>
        </row>
        <row r="71">
          <cell r="B71" t="str">
            <v>including:</v>
          </cell>
        </row>
        <row r="72">
          <cell r="A72" t="str">
            <v>BS231</v>
          </cell>
          <cell r="B72" t="str">
            <v>trade debtors (62, 76) - LT</v>
          </cell>
        </row>
        <row r="73">
          <cell r="A73" t="str">
            <v>BS232</v>
          </cell>
          <cell r="B73" t="str">
            <v>bills receivable (62) - LT</v>
          </cell>
        </row>
        <row r="74">
          <cell r="A74" t="str">
            <v>BS233</v>
          </cell>
          <cell r="B74" t="str">
            <v>with associates and subsidiaries (78) - LT</v>
          </cell>
        </row>
        <row r="75">
          <cell r="A75" t="str">
            <v>BS234</v>
          </cell>
          <cell r="B75" t="str">
            <v>advances made (61) - LT</v>
          </cell>
        </row>
        <row r="76">
          <cell r="A76" t="str">
            <v>BS235</v>
          </cell>
          <cell r="B76" t="str">
            <v>other debtors (L-T)</v>
          </cell>
        </row>
        <row r="77">
          <cell r="B77" t="str">
            <v/>
          </cell>
        </row>
        <row r="78">
          <cell r="B78" t="str">
            <v>Debtors falling due within 12 month</v>
          </cell>
        </row>
        <row r="79">
          <cell r="B79" t="str">
            <v>including:</v>
          </cell>
        </row>
        <row r="80">
          <cell r="A80" t="str">
            <v>BS241</v>
          </cell>
          <cell r="B80" t="str">
            <v>trade debtors (62, 76)</v>
          </cell>
        </row>
        <row r="81">
          <cell r="A81" t="str">
            <v>BS24101</v>
          </cell>
          <cell r="B81" t="str">
            <v>IntraGroup Debtors: Баланс - Выгрузка ГААП</v>
          </cell>
        </row>
        <row r="82">
          <cell r="A82" t="str">
            <v>BS24102</v>
          </cell>
          <cell r="B82" t="str">
            <v>IntraGroup Debtors: Sidanco_IS</v>
          </cell>
        </row>
        <row r="83">
          <cell r="A83" t="str">
            <v>BS24103</v>
          </cell>
          <cell r="B83" t="str">
            <v>IntraGroup Debtors:  TNK BP</v>
          </cell>
        </row>
        <row r="84">
          <cell r="A84" t="str">
            <v>BS2420</v>
          </cell>
          <cell r="B84" t="str">
            <v>IntraGroup Debtors: Not used</v>
          </cell>
        </row>
        <row r="85">
          <cell r="A85" t="str">
            <v>BS242</v>
          </cell>
          <cell r="B85" t="str">
            <v>bills receivable (62)</v>
          </cell>
        </row>
        <row r="86">
          <cell r="A86" t="str">
            <v>BS2427</v>
          </cell>
          <cell r="B86" t="str">
            <v>BS - bad debt provision - trade</v>
          </cell>
        </row>
        <row r="87">
          <cell r="A87" t="str">
            <v>BS2428</v>
          </cell>
          <cell r="B87" t="str">
            <v>BS - bad debt provision - advances</v>
          </cell>
        </row>
        <row r="88">
          <cell r="A88" t="str">
            <v>BS2429</v>
          </cell>
          <cell r="B88" t="str">
            <v>BS - bad debt provision - other debtors</v>
          </cell>
        </row>
        <row r="89">
          <cell r="A89" t="str">
            <v>BS243</v>
          </cell>
          <cell r="B89" t="str">
            <v>receivables from associates and subsidiaries</v>
          </cell>
        </row>
        <row r="90">
          <cell r="A90" t="str">
            <v>BS2432</v>
          </cell>
          <cell r="B90" t="str">
            <v>receivables from related parties</v>
          </cell>
        </row>
        <row r="91">
          <cell r="A91" t="str">
            <v>BS244</v>
          </cell>
          <cell r="B91" t="str">
            <v>settlements with shareholders on capital contributions (75)</v>
          </cell>
        </row>
        <row r="92">
          <cell r="A92" t="str">
            <v>BS245</v>
          </cell>
          <cell r="B92" t="str">
            <v>advances made (61)</v>
          </cell>
        </row>
        <row r="93">
          <cell r="A93" t="str">
            <v>BS2451</v>
          </cell>
          <cell r="B93" t="str">
            <v>Advances to customs</v>
          </cell>
        </row>
        <row r="94">
          <cell r="A94" t="str">
            <v>BS246</v>
          </cell>
          <cell r="B94" t="str">
            <v>other debtors</v>
          </cell>
        </row>
        <row r="95">
          <cell r="A95" t="str">
            <v>BS247</v>
          </cell>
          <cell r="B95" t="str">
            <v>Settlements with employees</v>
          </cell>
        </row>
        <row r="96">
          <cell r="A96" t="str">
            <v>BS248</v>
          </cell>
          <cell r="B96" t="str">
            <v>Claims settlements</v>
          </cell>
        </row>
        <row r="97">
          <cell r="A97" t="str">
            <v>BS249</v>
          </cell>
          <cell r="B97" t="str">
            <v>Taxes (non- VAT) claimable</v>
          </cell>
        </row>
        <row r="98">
          <cell r="A98" t="str">
            <v>BS2495</v>
          </cell>
          <cell r="B98" t="str">
            <v>VAT receivable</v>
          </cell>
        </row>
        <row r="99">
          <cell r="A99" t="str">
            <v>BS2496</v>
          </cell>
          <cell r="B99" t="str">
            <v>Profit tax receivable</v>
          </cell>
        </row>
        <row r="100">
          <cell r="A100" t="str">
            <v>BS2497</v>
          </cell>
          <cell r="B100" t="str">
            <v>Excise receivable</v>
          </cell>
        </row>
        <row r="101">
          <cell r="A101" t="str">
            <v>BS2498</v>
          </cell>
          <cell r="B101" t="str">
            <v>Other taxes receivable</v>
          </cell>
        </row>
        <row r="103">
          <cell r="A103" t="str">
            <v>BS2491</v>
          </cell>
          <cell r="B103" t="str">
            <v>Deferred tax - current asset</v>
          </cell>
        </row>
        <row r="105">
          <cell r="B105" t="str">
            <v>Short-term financial investments (58, 82)</v>
          </cell>
        </row>
        <row r="106">
          <cell r="B106" t="str">
            <v>including:</v>
          </cell>
        </row>
        <row r="107">
          <cell r="A107" t="str">
            <v>BS251</v>
          </cell>
          <cell r="B107" t="str">
            <v>Loans issued to organizations for less than 12 months</v>
          </cell>
        </row>
        <row r="108">
          <cell r="A108" t="str">
            <v>BS252</v>
          </cell>
          <cell r="B108" t="str">
            <v>own shares redeemed from shareholders</v>
          </cell>
        </row>
        <row r="109">
          <cell r="A109" t="str">
            <v>BS253</v>
          </cell>
          <cell r="B109" t="str">
            <v>other short-term financial investments</v>
          </cell>
        </row>
        <row r="110">
          <cell r="B110" t="str">
            <v/>
          </cell>
        </row>
        <row r="111">
          <cell r="B111" t="str">
            <v>Monetary assets</v>
          </cell>
        </row>
        <row r="112">
          <cell r="B112" t="str">
            <v>including:</v>
          </cell>
        </row>
        <row r="113">
          <cell r="A113" t="str">
            <v>BS261</v>
          </cell>
          <cell r="B113" t="str">
            <v>petty cash (50)</v>
          </cell>
        </row>
        <row r="114">
          <cell r="A114" t="str">
            <v>BS262</v>
          </cell>
          <cell r="B114" t="str">
            <v>current accounts (51)</v>
          </cell>
        </row>
        <row r="115">
          <cell r="A115" t="str">
            <v>BS263</v>
          </cell>
          <cell r="B115" t="str">
            <v>currency accounts (52)</v>
          </cell>
        </row>
        <row r="116">
          <cell r="A116" t="str">
            <v>BS264</v>
          </cell>
          <cell r="B116" t="str">
            <v>other monetary assets (55, 56, 57)</v>
          </cell>
        </row>
        <row r="117">
          <cell r="A117" t="str">
            <v>BS2611</v>
          </cell>
          <cell r="B117" t="str">
            <v>Restricted cash</v>
          </cell>
        </row>
        <row r="118">
          <cell r="A118" t="str">
            <v>BS2612</v>
          </cell>
          <cell r="B118" t="str">
            <v>Marketable securities</v>
          </cell>
        </row>
        <row r="119">
          <cell r="A119" t="str">
            <v>BS270</v>
          </cell>
          <cell r="B119" t="str">
            <v>Other current assets</v>
          </cell>
        </row>
        <row r="120">
          <cell r="B120" t="str">
            <v/>
          </cell>
        </row>
        <row r="121">
          <cell r="B121" t="str">
            <v>Total for Section II</v>
          </cell>
        </row>
        <row r="122">
          <cell r="B122" t="str">
            <v/>
          </cell>
        </row>
        <row r="123">
          <cell r="B123" t="str">
            <v>Balance (sum of lines 190+290+390)</v>
          </cell>
        </row>
        <row r="124">
          <cell r="B124" t="str">
            <v/>
          </cell>
        </row>
        <row r="125">
          <cell r="B125" t="str">
            <v>IV. Capital and reserves</v>
          </cell>
        </row>
        <row r="126">
          <cell r="A126" t="str">
            <v>BS410</v>
          </cell>
          <cell r="B126" t="str">
            <v>Authorized capital (85)</v>
          </cell>
        </row>
        <row r="127">
          <cell r="A127" t="str">
            <v>BS411</v>
          </cell>
          <cell r="B127" t="str">
            <v>Treasury shares</v>
          </cell>
        </row>
        <row r="128">
          <cell r="A128" t="str">
            <v>BS420</v>
          </cell>
          <cell r="B128" t="str">
            <v>Additional capital (87)</v>
          </cell>
        </row>
        <row r="129">
          <cell r="A129" t="str">
            <v>BS422</v>
          </cell>
          <cell r="B129" t="str">
            <v>Additional paid in capital</v>
          </cell>
        </row>
        <row r="130">
          <cell r="A130" t="str">
            <v>BS421</v>
          </cell>
          <cell r="B130" t="str">
            <v>Revaluation reserve</v>
          </cell>
        </row>
        <row r="131">
          <cell r="B131" t="str">
            <v>Reserve capital (86)</v>
          </cell>
        </row>
        <row r="132">
          <cell r="B132" t="str">
            <v>including:</v>
          </cell>
        </row>
        <row r="133">
          <cell r="A133" t="str">
            <v>BS431</v>
          </cell>
          <cell r="B133" t="str">
            <v>statutory reserve fund</v>
          </cell>
        </row>
        <row r="134">
          <cell r="A134" t="str">
            <v>BS432</v>
          </cell>
          <cell r="B134" t="str">
            <v>Other reserve</v>
          </cell>
        </row>
        <row r="135">
          <cell r="A135" t="str">
            <v>BS440</v>
          </cell>
          <cell r="B135" t="str">
            <v>Accumulation fund (88)</v>
          </cell>
        </row>
        <row r="136">
          <cell r="A136" t="str">
            <v>BS450</v>
          </cell>
          <cell r="B136" t="str">
            <v>Social fund (88)</v>
          </cell>
        </row>
        <row r="137">
          <cell r="A137" t="str">
            <v>BS460</v>
          </cell>
          <cell r="B137" t="str">
            <v>Target-oriented financing and receipts (96)</v>
          </cell>
        </row>
        <row r="138">
          <cell r="A138" t="str">
            <v>BS461</v>
          </cell>
          <cell r="B138" t="str">
            <v>Retained profit (loss) line 470 per SBS</v>
          </cell>
        </row>
        <row r="139">
          <cell r="A139" t="str">
            <v>BS462</v>
          </cell>
          <cell r="B139" t="str">
            <v>Other Equity line 480 per SBS</v>
          </cell>
        </row>
        <row r="140">
          <cell r="A140" t="str">
            <v>BS470</v>
          </cell>
          <cell r="B140" t="str">
            <v>Retained earnings b/f (88)</v>
          </cell>
        </row>
        <row r="141">
          <cell r="A141" t="str">
            <v>BS310</v>
          </cell>
          <cell r="B141" t="str">
            <v>Retained losses of previous years (88)</v>
          </cell>
        </row>
        <row r="142">
          <cell r="A142" t="str">
            <v>BS480</v>
          </cell>
          <cell r="B142" t="str">
            <v>Retained profit of the current period</v>
          </cell>
        </row>
        <row r="143">
          <cell r="A143" t="str">
            <v>BS320</v>
          </cell>
          <cell r="B143" t="str">
            <v>Current year losses</v>
          </cell>
        </row>
        <row r="144">
          <cell r="A144" t="str">
            <v>BS474</v>
          </cell>
          <cell r="B144" t="str">
            <v>Retained earnings - DT - Fair value adjustments</v>
          </cell>
        </row>
        <row r="145">
          <cell r="A145" t="str">
            <v>BS475</v>
          </cell>
          <cell r="B145" t="str">
            <v>Retained earnings - FA- Fair value adjustments</v>
          </cell>
        </row>
        <row r="146">
          <cell r="A146" t="str">
            <v>BS476</v>
          </cell>
          <cell r="B146" t="str">
            <v>Advanced use of current year profit</v>
          </cell>
        </row>
        <row r="147">
          <cell r="B147" t="str">
            <v/>
          </cell>
        </row>
        <row r="148">
          <cell r="B148" t="str">
            <v>Total for Section IV</v>
          </cell>
        </row>
        <row r="149">
          <cell r="A149" t="str">
            <v>BS500</v>
          </cell>
          <cell r="B149" t="str">
            <v>Minority Interest</v>
          </cell>
        </row>
        <row r="151">
          <cell r="B151" t="str">
            <v>V. Long-term liabilities</v>
          </cell>
        </row>
        <row r="152">
          <cell r="B152" t="str">
            <v/>
          </cell>
        </row>
        <row r="153">
          <cell r="B153" t="str">
            <v>Loans (92, 95)</v>
          </cell>
        </row>
        <row r="154">
          <cell r="B154" t="str">
            <v>including:</v>
          </cell>
        </row>
        <row r="155">
          <cell r="A155" t="str">
            <v>BS511</v>
          </cell>
          <cell r="B155" t="str">
            <v>bank loans falling due after more than 12 months</v>
          </cell>
        </row>
        <row r="156">
          <cell r="A156" t="str">
            <v>BS512</v>
          </cell>
          <cell r="B156" t="str">
            <v>other loans falling due after more than 12 months</v>
          </cell>
        </row>
        <row r="157">
          <cell r="A157" t="str">
            <v>BS520</v>
          </cell>
          <cell r="B157" t="str">
            <v>Other long-term liabilities</v>
          </cell>
        </row>
        <row r="159">
          <cell r="A159" t="str">
            <v>BS521</v>
          </cell>
          <cell r="B159" t="str">
            <v>Long-term coupon interest</v>
          </cell>
        </row>
        <row r="160">
          <cell r="A160" t="str">
            <v>BS522</v>
          </cell>
          <cell r="B160" t="str">
            <v>Long-term pension accrual</v>
          </cell>
        </row>
        <row r="161">
          <cell r="A161" t="str">
            <v>BS523</v>
          </cell>
          <cell r="B161" t="str">
            <v>Long-term promissory notes</v>
          </cell>
        </row>
        <row r="162">
          <cell r="A162" t="str">
            <v>BS524</v>
          </cell>
          <cell r="B162" t="str">
            <v>Long-term loans issued</v>
          </cell>
        </row>
        <row r="163">
          <cell r="A163" t="str">
            <v>BS5245</v>
          </cell>
          <cell r="B163" t="str">
            <v>Other long-term liabilities</v>
          </cell>
        </row>
        <row r="165">
          <cell r="A165" t="str">
            <v>BS525</v>
          </cell>
          <cell r="B165" t="str">
            <v>social insurance and maintenance (69) - LT</v>
          </cell>
        </row>
        <row r="166">
          <cell r="A166" t="str">
            <v>BS5262</v>
          </cell>
          <cell r="B166" t="str">
            <v>Personal income withholding tax - LT</v>
          </cell>
        </row>
        <row r="167">
          <cell r="A167" t="str">
            <v>BS5263</v>
          </cell>
          <cell r="B167" t="str">
            <v>Royalty - LT</v>
          </cell>
        </row>
        <row r="168">
          <cell r="A168" t="str">
            <v>BS5264</v>
          </cell>
          <cell r="B168" t="str">
            <v>Property tax - LT</v>
          </cell>
        </row>
        <row r="169">
          <cell r="A169" t="str">
            <v>BS5268</v>
          </cell>
          <cell r="B169" t="str">
            <v>Maintenance of social infrastructure tax - LT</v>
          </cell>
        </row>
        <row r="170">
          <cell r="A170" t="str">
            <v>BS5266</v>
          </cell>
          <cell r="B170" t="str">
            <v>Road users tax - LT</v>
          </cell>
        </row>
        <row r="171">
          <cell r="A171" t="str">
            <v>BS5267</v>
          </cell>
          <cell r="B171" t="str">
            <v>Mineral resporation tax - LT</v>
          </cell>
        </row>
        <row r="172">
          <cell r="A172" t="str">
            <v>BS5274</v>
          </cell>
          <cell r="B172" t="str">
            <v>Profit tax - LT</v>
          </cell>
        </row>
        <row r="173">
          <cell r="A173" t="str">
            <v>BS5269</v>
          </cell>
          <cell r="B173" t="str">
            <v>Excise  - LT</v>
          </cell>
        </row>
        <row r="174">
          <cell r="A174" t="str">
            <v>BS5270</v>
          </cell>
          <cell r="B174" t="str">
            <v>Sales fuel tax - LT</v>
          </cell>
        </row>
        <row r="175">
          <cell r="A175" t="str">
            <v>BS5271</v>
          </cell>
          <cell r="B175" t="str">
            <v>Other taxes - LT</v>
          </cell>
        </row>
        <row r="176">
          <cell r="A176" t="str">
            <v>BS5272</v>
          </cell>
          <cell r="B176" t="str">
            <v>Tax penalties and interest payable - LT</v>
          </cell>
        </row>
        <row r="177">
          <cell r="A177" t="str">
            <v>BS5275</v>
          </cell>
          <cell r="B177" t="str">
            <v>Severance tax</v>
          </cell>
        </row>
        <row r="178">
          <cell r="A178" t="str">
            <v>BS5276</v>
          </cell>
          <cell r="B178" t="str">
            <v>Transport tax</v>
          </cell>
        </row>
        <row r="179">
          <cell r="A179" t="str">
            <v>BS5261</v>
          </cell>
          <cell r="B179" t="str">
            <v>VAT payable - LT</v>
          </cell>
        </row>
        <row r="180">
          <cell r="A180" t="str">
            <v>BS52610</v>
          </cell>
          <cell r="B180" t="str">
            <v>Deferred VAT payable - LT</v>
          </cell>
        </row>
        <row r="182">
          <cell r="A182" t="str">
            <v>BS530</v>
          </cell>
          <cell r="B182" t="str">
            <v>Long term deferred income tax liability</v>
          </cell>
        </row>
        <row r="183">
          <cell r="B183" t="str">
            <v/>
          </cell>
        </row>
        <row r="184">
          <cell r="B184" t="str">
            <v>Total for Section V</v>
          </cell>
        </row>
        <row r="185">
          <cell r="B185" t="str">
            <v/>
          </cell>
        </row>
        <row r="186">
          <cell r="B186" t="str">
            <v>VI. Short-term liabilities</v>
          </cell>
        </row>
        <row r="187">
          <cell r="B187" t="str">
            <v>Loans (90, 94)</v>
          </cell>
        </row>
        <row r="188">
          <cell r="B188" t="str">
            <v>including:</v>
          </cell>
        </row>
        <row r="189">
          <cell r="A189" t="str">
            <v>BS611</v>
          </cell>
          <cell r="B189" t="str">
            <v>bank loans falling due within 12 months</v>
          </cell>
        </row>
        <row r="190">
          <cell r="A190" t="str">
            <v>BS615</v>
          </cell>
          <cell r="B190" t="str">
            <v>Current portion of long term debt</v>
          </cell>
        </row>
        <row r="191">
          <cell r="A191" t="str">
            <v>BS612</v>
          </cell>
          <cell r="B191" t="str">
            <v>other loans falling due within 12 months</v>
          </cell>
        </row>
        <row r="192">
          <cell r="B192" t="str">
            <v/>
          </cell>
        </row>
        <row r="193">
          <cell r="B193" t="str">
            <v>Creditors</v>
          </cell>
        </row>
        <row r="194">
          <cell r="B194" t="str">
            <v>including:</v>
          </cell>
        </row>
        <row r="195">
          <cell r="A195" t="str">
            <v>BS621</v>
          </cell>
          <cell r="B195" t="str">
            <v>suppliers and contractors (60, 76)</v>
          </cell>
        </row>
        <row r="196">
          <cell r="A196" t="str">
            <v>BS62101</v>
          </cell>
          <cell r="B196" t="str">
            <v>IntraGroup Creditors: Баланс - Выгрузка ГААП</v>
          </cell>
        </row>
        <row r="197">
          <cell r="A197" t="str">
            <v>BS62102</v>
          </cell>
          <cell r="B197" t="str">
            <v>IntraGroup Creditors: Sidanco_IS</v>
          </cell>
        </row>
        <row r="198">
          <cell r="A198" t="str">
            <v>BS62103</v>
          </cell>
          <cell r="B198" t="str">
            <v>IntraGroup Creditors:  TNK BP</v>
          </cell>
        </row>
        <row r="199">
          <cell r="A199" t="str">
            <v>BS6220</v>
          </cell>
          <cell r="B199" t="str">
            <v>IntraGroup Creditors: Not used</v>
          </cell>
        </row>
        <row r="200">
          <cell r="A200" t="str">
            <v>BS622</v>
          </cell>
          <cell r="B200" t="str">
            <v>notes payable (60)</v>
          </cell>
        </row>
        <row r="201">
          <cell r="A201" t="str">
            <v>BS623</v>
          </cell>
          <cell r="B201" t="str">
            <v>payables to associates and subsidiaries</v>
          </cell>
        </row>
        <row r="202">
          <cell r="A202" t="str">
            <v>BS624</v>
          </cell>
          <cell r="B202" t="str">
            <v>payroll (70)</v>
          </cell>
        </row>
        <row r="203">
          <cell r="A203" t="str">
            <v>BS625</v>
          </cell>
          <cell r="B203" t="str">
            <v>social insurance and maintenance (69)</v>
          </cell>
        </row>
        <row r="204">
          <cell r="A204" t="str">
            <v>BS626</v>
          </cell>
          <cell r="B204" t="str">
            <v>with budget (68)</v>
          </cell>
        </row>
        <row r="205">
          <cell r="A205" t="str">
            <v>BS6262</v>
          </cell>
          <cell r="B205" t="str">
            <v>Personal income withholding tax</v>
          </cell>
        </row>
        <row r="206">
          <cell r="A206" t="str">
            <v>BS6263</v>
          </cell>
          <cell r="B206" t="str">
            <v>Royalty</v>
          </cell>
        </row>
        <row r="207">
          <cell r="A207" t="str">
            <v>BS6264</v>
          </cell>
          <cell r="B207" t="str">
            <v>Property tax</v>
          </cell>
        </row>
        <row r="208">
          <cell r="A208" t="str">
            <v>BS6268</v>
          </cell>
          <cell r="B208" t="str">
            <v>Maintenance of social infrastructure tax</v>
          </cell>
        </row>
        <row r="209">
          <cell r="A209" t="str">
            <v>BS6266</v>
          </cell>
          <cell r="B209" t="str">
            <v>Road users tax</v>
          </cell>
        </row>
        <row r="210">
          <cell r="A210" t="str">
            <v>BS6267</v>
          </cell>
          <cell r="B210" t="str">
            <v>Mineral resporation tax</v>
          </cell>
        </row>
        <row r="211">
          <cell r="A211" t="str">
            <v>BS6274</v>
          </cell>
          <cell r="B211" t="str">
            <v>Profit tax</v>
          </cell>
        </row>
        <row r="212">
          <cell r="A212" t="str">
            <v>BS6275</v>
          </cell>
          <cell r="B212" t="str">
            <v>Severance tax</v>
          </cell>
        </row>
        <row r="213">
          <cell r="A213" t="str">
            <v>BS6276</v>
          </cell>
          <cell r="B213" t="str">
            <v>Transport tax</v>
          </cell>
        </row>
        <row r="214">
          <cell r="A214" t="str">
            <v>BS6269</v>
          </cell>
          <cell r="B214" t="str">
            <v>Excise</v>
          </cell>
        </row>
        <row r="215">
          <cell r="A215" t="str">
            <v>BS6270</v>
          </cell>
          <cell r="B215" t="str">
            <v>Sales fuel tax</v>
          </cell>
        </row>
        <row r="216">
          <cell r="A216" t="str">
            <v>BS6271</v>
          </cell>
          <cell r="B216" t="str">
            <v>Other taxes</v>
          </cell>
        </row>
        <row r="217">
          <cell r="A217" t="str">
            <v>BS6272</v>
          </cell>
          <cell r="B217" t="str">
            <v>Tax penalties and interest payable - BS</v>
          </cell>
        </row>
        <row r="218">
          <cell r="A218" t="str">
            <v>BS6261</v>
          </cell>
          <cell r="B218" t="str">
            <v>VAT payable</v>
          </cell>
        </row>
        <row r="219">
          <cell r="A219" t="str">
            <v>BS62610</v>
          </cell>
          <cell r="B219" t="str">
            <v>Deferred VAT payable</v>
          </cell>
        </row>
        <row r="220">
          <cell r="A220" t="str">
            <v>BS627</v>
          </cell>
          <cell r="B220" t="str">
            <v>advances received (64)</v>
          </cell>
        </row>
        <row r="221">
          <cell r="A221" t="str">
            <v>BS6281</v>
          </cell>
          <cell r="B221" t="str">
            <v>Settlements with employees</v>
          </cell>
        </row>
        <row r="222">
          <cell r="A222" t="str">
            <v>BS6282</v>
          </cell>
          <cell r="B222" t="str">
            <v>Claims settlements</v>
          </cell>
        </row>
        <row r="223">
          <cell r="A223" t="str">
            <v>BS6284</v>
          </cell>
          <cell r="B223" t="str">
            <v>Interest accruals</v>
          </cell>
        </row>
        <row r="224">
          <cell r="A224" t="str">
            <v>BS6285</v>
          </cell>
          <cell r="B224" t="str">
            <v>Dismantlement liabilities</v>
          </cell>
        </row>
        <row r="225">
          <cell r="A225" t="str">
            <v>BS628</v>
          </cell>
          <cell r="B225" t="str">
            <v>other creditors</v>
          </cell>
        </row>
        <row r="226">
          <cell r="A226" t="str">
            <v>BS629</v>
          </cell>
          <cell r="B226" t="str">
            <v>Interest accrual - BS</v>
          </cell>
        </row>
        <row r="227">
          <cell r="A227" t="str">
            <v>BS630</v>
          </cell>
          <cell r="B227" t="str">
            <v>Dividends payable (75)</v>
          </cell>
        </row>
        <row r="228">
          <cell r="A228" t="str">
            <v>BS640</v>
          </cell>
          <cell r="B228" t="str">
            <v>Future periods income (83)</v>
          </cell>
        </row>
        <row r="229">
          <cell r="A229" t="str">
            <v>BS650</v>
          </cell>
          <cell r="B229" t="str">
            <v>Consumption  fund (88)</v>
          </cell>
        </row>
        <row r="230">
          <cell r="A230" t="str">
            <v>BS660</v>
          </cell>
          <cell r="B230" t="str">
            <v>Reserves of future expenditures and payments (89)</v>
          </cell>
        </row>
        <row r="231">
          <cell r="A231" t="str">
            <v>BS670</v>
          </cell>
          <cell r="B231" t="str">
            <v>Other short-term liabilities</v>
          </cell>
        </row>
        <row r="232">
          <cell r="B232" t="str">
            <v/>
          </cell>
        </row>
        <row r="233">
          <cell r="A233" t="str">
            <v>BS680</v>
          </cell>
          <cell r="B233" t="str">
            <v>Short term deferred income tax liability</v>
          </cell>
        </row>
        <row r="235">
          <cell r="B235" t="str">
            <v>Total for Section VI</v>
          </cell>
        </row>
        <row r="236">
          <cell r="B236" t="str">
            <v>Balance (sum of lines 490+590+690)</v>
          </cell>
        </row>
        <row r="237">
          <cell r="B237" t="str">
            <v>Control Balance</v>
          </cell>
        </row>
        <row r="238">
          <cell r="B238" t="str">
            <v/>
          </cell>
        </row>
        <row r="239">
          <cell r="B239" t="str">
            <v>RSA Income Statement (Form 2)</v>
          </cell>
        </row>
        <row r="240">
          <cell r="B240" t="str">
            <v>VNG</v>
          </cell>
        </row>
        <row r="243">
          <cell r="B243" t="str">
            <v>RSA Income Statement</v>
          </cell>
        </row>
        <row r="244">
          <cell r="A244" t="str">
            <v>PL010</v>
          </cell>
          <cell r="B244" t="str">
            <v>Turnover (net)</v>
          </cell>
        </row>
        <row r="245">
          <cell r="A245" t="str">
            <v>PL020</v>
          </cell>
          <cell r="B245" t="str">
            <v>Cost of sales</v>
          </cell>
        </row>
        <row r="246">
          <cell r="A246" t="str">
            <v>PL030</v>
          </cell>
          <cell r="B246" t="str">
            <v>Commercial expenses</v>
          </cell>
        </row>
        <row r="247">
          <cell r="A247" t="str">
            <v>PL040</v>
          </cell>
          <cell r="B247" t="str">
            <v>Administrative expenses</v>
          </cell>
        </row>
        <row r="248">
          <cell r="B248" t="str">
            <v>Gross (Profit)/Loss (lines 010-020-030-040)</v>
          </cell>
        </row>
        <row r="249">
          <cell r="A249" t="str">
            <v>PL060</v>
          </cell>
          <cell r="B249" t="str">
            <v>Interest receivable</v>
          </cell>
        </row>
        <row r="250">
          <cell r="A250" t="str">
            <v>PL070</v>
          </cell>
          <cell r="B250" t="str">
            <v>Interest payable</v>
          </cell>
        </row>
        <row r="251">
          <cell r="A251" t="str">
            <v>PL080</v>
          </cell>
          <cell r="B251" t="str">
            <v>Income from participation in other organizations (3rd parties)</v>
          </cell>
        </row>
        <row r="252">
          <cell r="A252" t="str">
            <v>PL090</v>
          </cell>
          <cell r="B252" t="str">
            <v>Other operating income</v>
          </cell>
        </row>
        <row r="253">
          <cell r="A253" t="str">
            <v>PL100</v>
          </cell>
          <cell r="B253" t="str">
            <v>Other operating expenses</v>
          </cell>
        </row>
        <row r="254">
          <cell r="B254" t="str">
            <v>(Profit)/loss from financial-economic activity (lines 050+060-070+080+090-100)</v>
          </cell>
        </row>
        <row r="255">
          <cell r="A255" t="str">
            <v>PL120</v>
          </cell>
          <cell r="B255" t="str">
            <v>Other non-realisation income</v>
          </cell>
        </row>
        <row r="256">
          <cell r="A256" t="str">
            <v>PL130</v>
          </cell>
          <cell r="B256" t="str">
            <v>Other non-realisation expenses</v>
          </cell>
        </row>
        <row r="257">
          <cell r="B257" t="str">
            <v>(Profit)/loss of accounting period (lines 110,120, 130)</v>
          </cell>
        </row>
        <row r="258">
          <cell r="A258" t="str">
            <v>PL150</v>
          </cell>
          <cell r="B258" t="str">
            <v>Income tax</v>
          </cell>
        </row>
        <row r="259">
          <cell r="A259" t="str">
            <v>PL160</v>
          </cell>
          <cell r="B259" t="str">
            <v>Utilisation of profit</v>
          </cell>
        </row>
        <row r="261">
          <cell r="B261" t="str">
            <v>US GAAP Income Statement</v>
          </cell>
        </row>
        <row r="262">
          <cell r="A262" t="str">
            <v>PL0110</v>
          </cell>
          <cell r="B262" t="str">
            <v>IntraGroup Revenues: Not used</v>
          </cell>
        </row>
        <row r="263">
          <cell r="A263" t="str">
            <v>PL011001</v>
          </cell>
          <cell r="B263" t="str">
            <v>IntraGroup Revenues: Форма №2 - Выгрузка ГААП</v>
          </cell>
        </row>
        <row r="264">
          <cell r="A264" t="str">
            <v>PL011002</v>
          </cell>
          <cell r="B264" t="str">
            <v>IntraGroup Revenues: Sidanco_IS</v>
          </cell>
        </row>
        <row r="265">
          <cell r="A265" t="str">
            <v>PL011003</v>
          </cell>
          <cell r="B265" t="str">
            <v>IntraGroup Revenues: TNK BP</v>
          </cell>
        </row>
        <row r="266">
          <cell r="A266" t="str">
            <v>PL0111</v>
          </cell>
          <cell r="B266" t="str">
            <v>Crude oil - export (Europe)</v>
          </cell>
        </row>
        <row r="267">
          <cell r="A267" t="str">
            <v>PL011101</v>
          </cell>
          <cell r="B267" t="str">
            <v>Crude oil - export (CIS)</v>
          </cell>
        </row>
        <row r="268">
          <cell r="A268" t="str">
            <v>PL0112</v>
          </cell>
          <cell r="B268" t="str">
            <v>Crude oil - domestic</v>
          </cell>
        </row>
        <row r="269">
          <cell r="A269" t="str">
            <v>PL0113</v>
          </cell>
          <cell r="B269" t="str">
            <v>Refined products - export (Europe)</v>
          </cell>
        </row>
        <row r="270">
          <cell r="A270" t="str">
            <v>PL011301</v>
          </cell>
          <cell r="B270" t="str">
            <v>Refined products - export (CIS)</v>
          </cell>
        </row>
        <row r="271">
          <cell r="A271" t="str">
            <v>PL0114</v>
          </cell>
          <cell r="B271" t="str">
            <v>Refined products - domestic</v>
          </cell>
        </row>
        <row r="272">
          <cell r="A272" t="str">
            <v>PL0115</v>
          </cell>
          <cell r="B272" t="str">
            <v>Gas sales</v>
          </cell>
        </row>
        <row r="273">
          <cell r="A273" t="str">
            <v>PL01151</v>
          </cell>
          <cell r="B273" t="str">
            <v>Gas sales</v>
          </cell>
        </row>
        <row r="274">
          <cell r="A274" t="str">
            <v>PL0116</v>
          </cell>
          <cell r="B274" t="str">
            <v>Commission sales - Domestic</v>
          </cell>
        </row>
        <row r="275">
          <cell r="A275" t="str">
            <v>PL01161</v>
          </cell>
          <cell r="B275" t="str">
            <v xml:space="preserve">Commission sales </v>
          </cell>
        </row>
        <row r="276">
          <cell r="A276" t="str">
            <v>PL0117</v>
          </cell>
          <cell r="B276" t="str">
            <v>Commission sales - Export</v>
          </cell>
        </row>
        <row r="277">
          <cell r="A277" t="str">
            <v>PL0118</v>
          </cell>
          <cell r="B277" t="str">
            <v>Other sales</v>
          </cell>
        </row>
        <row r="278">
          <cell r="A278" t="str">
            <v>PL0119</v>
          </cell>
          <cell r="B278" t="str">
            <v>Tolling services</v>
          </cell>
        </row>
        <row r="279">
          <cell r="A279" t="str">
            <v>PL0120</v>
          </cell>
          <cell r="B279" t="str">
            <v>Marketing activity revenues</v>
          </cell>
        </row>
        <row r="280">
          <cell r="A280" t="str">
            <v>PL0121</v>
          </cell>
          <cell r="B280" t="str">
            <v>Less: excise</v>
          </cell>
        </row>
        <row r="281">
          <cell r="A281" t="str">
            <v>PL0122</v>
          </cell>
          <cell r="B281" t="str">
            <v>Less: fuel sales taxes</v>
          </cell>
        </row>
        <row r="282">
          <cell r="A282" t="str">
            <v>PL0123</v>
          </cell>
          <cell r="B282" t="str">
            <v>Less: customs duties</v>
          </cell>
        </row>
        <row r="283">
          <cell r="A283" t="str">
            <v>PL01231</v>
          </cell>
          <cell r="B283" t="str">
            <v>Less: export duties</v>
          </cell>
        </row>
        <row r="284">
          <cell r="A284" t="str">
            <v>PL0124</v>
          </cell>
          <cell r="B284" t="str">
            <v>Other income</v>
          </cell>
        </row>
        <row r="285">
          <cell r="A285" t="str">
            <v>PL0125</v>
          </cell>
          <cell r="B285" t="str">
            <v>Earnings from investments in equity affiliates</v>
          </cell>
        </row>
        <row r="287">
          <cell r="A287" t="str">
            <v>PL0134</v>
          </cell>
          <cell r="B287" t="str">
            <v>Interest on loans and bank deposits</v>
          </cell>
        </row>
        <row r="288">
          <cell r="A288" t="str">
            <v>PL0135</v>
          </cell>
          <cell r="B288" t="str">
            <v>Interest and discount on bonds</v>
          </cell>
        </row>
        <row r="289">
          <cell r="A289" t="str">
            <v>PL0136</v>
          </cell>
          <cell r="B289" t="str">
            <v>Other Interest income</v>
          </cell>
        </row>
        <row r="290">
          <cell r="A290" t="str">
            <v>PL0137</v>
          </cell>
          <cell r="B290" t="str">
            <v>Accretion on bonds discounts and interest on bonds (in Oliverton)</v>
          </cell>
        </row>
        <row r="291">
          <cell r="A291" t="str">
            <v>PL0138</v>
          </cell>
          <cell r="B291" t="str">
            <v>Royalty income</v>
          </cell>
        </row>
        <row r="292">
          <cell r="A292" t="str">
            <v>PL0139</v>
          </cell>
          <cell r="B292" t="str">
            <v>One-off income</v>
          </cell>
        </row>
        <row r="293">
          <cell r="A293" t="str">
            <v>PL01245</v>
          </cell>
          <cell r="B293" t="str">
            <v>Other income - Other</v>
          </cell>
        </row>
        <row r="295">
          <cell r="A295" t="str">
            <v>PL0210</v>
          </cell>
          <cell r="B295" t="str">
            <v>IntraGroup COS: Not used</v>
          </cell>
        </row>
        <row r="296">
          <cell r="A296" t="str">
            <v>PL021001</v>
          </cell>
          <cell r="B296" t="str">
            <v>IntraGroup COS: Форма №2 - Выгрузка ГААП</v>
          </cell>
        </row>
        <row r="297">
          <cell r="A297" t="str">
            <v>PL021002</v>
          </cell>
          <cell r="B297" t="str">
            <v>IntraGroup COS: Sidanco_IS</v>
          </cell>
        </row>
        <row r="298">
          <cell r="A298" t="str">
            <v>PL021003</v>
          </cell>
          <cell r="B298" t="str">
            <v>IntraGroup COS: TNK BP</v>
          </cell>
        </row>
        <row r="299">
          <cell r="A299" t="str">
            <v>PL0211</v>
          </cell>
          <cell r="B299" t="str">
            <v>Cost of purchased products</v>
          </cell>
        </row>
        <row r="300">
          <cell r="A300" t="str">
            <v>PL0212</v>
          </cell>
          <cell r="B300" t="str">
            <v>Other operating expenses</v>
          </cell>
        </row>
        <row r="301">
          <cell r="A301" t="str">
            <v>PL0213</v>
          </cell>
          <cell r="B301" t="str">
            <v>Exploration expenses</v>
          </cell>
        </row>
        <row r="302">
          <cell r="A302" t="str">
            <v>PL0214</v>
          </cell>
          <cell r="B302" t="str">
            <v>Selling, general and administration expenses</v>
          </cell>
        </row>
        <row r="303">
          <cell r="A303" t="str">
            <v>PL02151</v>
          </cell>
          <cell r="B303" t="str">
            <v>Depletion - Oil and gas fixed assets</v>
          </cell>
        </row>
        <row r="304">
          <cell r="A304" t="str">
            <v>PL02152</v>
          </cell>
          <cell r="B304" t="str">
            <v>Depletion - Fair value adjustment - Oil and gas fixed assets</v>
          </cell>
        </row>
        <row r="305">
          <cell r="A305" t="str">
            <v>PL02153</v>
          </cell>
          <cell r="B305" t="str">
            <v>Depreciation - Other fixed assets</v>
          </cell>
        </row>
        <row r="306">
          <cell r="A306" t="str">
            <v>PL02154</v>
          </cell>
          <cell r="B306" t="str">
            <v>Depletion - SFAS 143</v>
          </cell>
        </row>
        <row r="307">
          <cell r="A307" t="str">
            <v>PL02155</v>
          </cell>
          <cell r="B307" t="str">
            <v>Depreciation - Refining and related equipment</v>
          </cell>
        </row>
        <row r="308">
          <cell r="A308" t="str">
            <v>PL02156</v>
          </cell>
          <cell r="B308" t="str">
            <v>Depreciation - Fair value adjustments - Refining and related equipment</v>
          </cell>
        </row>
        <row r="309">
          <cell r="A309" t="str">
            <v>PL02157</v>
          </cell>
          <cell r="B309" t="str">
            <v>Depreciation - Fair value adjustments - Other fixed assets</v>
          </cell>
        </row>
        <row r="310">
          <cell r="A310" t="str">
            <v>PL0215</v>
          </cell>
          <cell r="B310" t="str">
            <v>Depreciation, depletion and amortisation</v>
          </cell>
        </row>
        <row r="311">
          <cell r="A311" t="str">
            <v>PL0216</v>
          </cell>
          <cell r="B311" t="str">
            <v>Royalty</v>
          </cell>
        </row>
        <row r="312">
          <cell r="A312" t="str">
            <v>PL0217</v>
          </cell>
          <cell r="B312" t="str">
            <v>Severance tax</v>
          </cell>
        </row>
        <row r="313">
          <cell r="A313" t="str">
            <v>PL0218</v>
          </cell>
          <cell r="B313" t="str">
            <v>Road users tax</v>
          </cell>
        </row>
        <row r="314">
          <cell r="A314" t="str">
            <v>PL0219</v>
          </cell>
          <cell r="B314" t="str">
            <v>Property tax</v>
          </cell>
        </row>
        <row r="315">
          <cell r="A315" t="str">
            <v>PL0220</v>
          </cell>
          <cell r="B315" t="str">
            <v>Housing tax</v>
          </cell>
        </row>
        <row r="316">
          <cell r="A316" t="str">
            <v>PL0221</v>
          </cell>
          <cell r="B316" t="str">
            <v>Tax penalties and interest payable - P&amp;L</v>
          </cell>
        </row>
        <row r="317">
          <cell r="A317" t="str">
            <v>PL0222</v>
          </cell>
          <cell r="B317" t="str">
            <v>Pension Fund and other social taxes</v>
          </cell>
        </row>
        <row r="318">
          <cell r="A318" t="str">
            <v>PL0223</v>
          </cell>
          <cell r="B318" t="str">
            <v>Other non-profit taxes</v>
          </cell>
        </row>
        <row r="319">
          <cell r="A319" t="str">
            <v>PL0224</v>
          </cell>
          <cell r="B319" t="str">
            <v>Maintenance of social infrastructure</v>
          </cell>
        </row>
        <row r="320">
          <cell r="A320" t="str">
            <v>PL0225</v>
          </cell>
          <cell r="B320" t="str">
            <v>Loss on disposal of investment</v>
          </cell>
        </row>
        <row r="321">
          <cell r="A321" t="str">
            <v>PL0226</v>
          </cell>
          <cell r="B321" t="str">
            <v>Loss on disposal of fixed assets</v>
          </cell>
        </row>
        <row r="322">
          <cell r="A322" t="str">
            <v>PL0227</v>
          </cell>
          <cell r="B322" t="str">
            <v>Control premium</v>
          </cell>
        </row>
        <row r="323">
          <cell r="A323" t="str">
            <v>PL0228</v>
          </cell>
          <cell r="B323" t="str">
            <v>Other expenses</v>
          </cell>
        </row>
        <row r="324">
          <cell r="A324" t="str">
            <v>PL0230</v>
          </cell>
          <cell r="B324" t="str">
            <v>COS - Materials</v>
          </cell>
        </row>
        <row r="325">
          <cell r="A325" t="str">
            <v>PL0231</v>
          </cell>
          <cell r="B325" t="str">
            <v>COS - Wages</v>
          </cell>
        </row>
        <row r="326">
          <cell r="A326" t="str">
            <v>PL0232</v>
          </cell>
          <cell r="B326" t="str">
            <v>COS - Fuel</v>
          </cell>
        </row>
        <row r="327">
          <cell r="A327" t="str">
            <v>PL0233</v>
          </cell>
          <cell r="B327" t="str">
            <v>COS - Electricity and Heating</v>
          </cell>
        </row>
        <row r="328">
          <cell r="A328" t="str">
            <v>PL0234</v>
          </cell>
          <cell r="B328" t="str">
            <v>COS - 3rd party goods and services</v>
          </cell>
        </row>
        <row r="329">
          <cell r="A329" t="str">
            <v>PL0235</v>
          </cell>
          <cell r="B329" t="str">
            <v>COS - Transportation (except Transneft)</v>
          </cell>
        </row>
        <row r="330">
          <cell r="A330" t="str">
            <v>PL0236</v>
          </cell>
          <cell r="B330" t="str">
            <v>COS - Other repairs and maintenance</v>
          </cell>
        </row>
        <row r="331">
          <cell r="A331" t="str">
            <v>PL0237</v>
          </cell>
          <cell r="B331" t="str">
            <v>COS - Well services and workovers</v>
          </cell>
        </row>
        <row r="332">
          <cell r="A332" t="str">
            <v>PL0238</v>
          </cell>
          <cell r="B332" t="str">
            <v>COS - Road maintenance</v>
          </cell>
        </row>
        <row r="333">
          <cell r="A333" t="str">
            <v>PL0239</v>
          </cell>
          <cell r="B333" t="str">
            <v>COS - Gas compressing costs</v>
          </cell>
        </row>
        <row r="334">
          <cell r="A334" t="str">
            <v>PL0240</v>
          </cell>
          <cell r="B334" t="str">
            <v>COS - Repairs and maintenance of surface equipment</v>
          </cell>
        </row>
        <row r="335">
          <cell r="A335" t="str">
            <v>PL0241</v>
          </cell>
          <cell r="B335" t="str">
            <v xml:space="preserve">COS - Production overheads </v>
          </cell>
        </row>
        <row r="336">
          <cell r="A336" t="str">
            <v>PL0242</v>
          </cell>
          <cell r="B336" t="str">
            <v>COS - TBD6 - Refinery costs</v>
          </cell>
        </row>
        <row r="337">
          <cell r="A337" t="str">
            <v>PL0243</v>
          </cell>
          <cell r="B337" t="str">
            <v>COS - Excise (refundable to tolling companies)</v>
          </cell>
        </row>
        <row r="338">
          <cell r="A338" t="str">
            <v>PL0244</v>
          </cell>
          <cell r="B338" t="str">
            <v>Корректировка покупных товаров и сырья на суммму остатков</v>
          </cell>
        </row>
        <row r="339">
          <cell r="A339" t="str">
            <v>PL0245</v>
          </cell>
          <cell r="B339" t="str">
            <v>COS - TBD9 - Operating costs of previous years</v>
          </cell>
        </row>
        <row r="340">
          <cell r="A340" t="str">
            <v>PL0246</v>
          </cell>
          <cell r="B340" t="str">
            <v>COS - TBD10 - Enviroment and labor protection</v>
          </cell>
        </row>
        <row r="341">
          <cell r="A341" t="str">
            <v>PL0247</v>
          </cell>
          <cell r="B341" t="str">
            <v>COS - TBD11 - Customs duties</v>
          </cell>
        </row>
        <row r="342">
          <cell r="A342" t="str">
            <v>PL0248</v>
          </cell>
          <cell r="B342" t="str">
            <v>COS - TBD12 - Wellbore stimulation</v>
          </cell>
        </row>
        <row r="343">
          <cell r="A343" t="str">
            <v>PL0249</v>
          </cell>
          <cell r="B343" t="str">
            <v>COS - TBD13 Accretion expense</v>
          </cell>
        </row>
        <row r="344">
          <cell r="A344" t="str">
            <v>PL0250</v>
          </cell>
          <cell r="B344" t="str">
            <v>COS - Inventory provision</v>
          </cell>
        </row>
        <row r="345">
          <cell r="A345" t="str">
            <v>PL0251</v>
          </cell>
          <cell r="B345" t="str">
            <v>COS - TBD15</v>
          </cell>
        </row>
        <row r="346">
          <cell r="A346" t="str">
            <v>PL0252</v>
          </cell>
          <cell r="B346" t="str">
            <v>COS - TBD16</v>
          </cell>
        </row>
        <row r="347">
          <cell r="A347" t="str">
            <v>PL0253</v>
          </cell>
          <cell r="B347" t="str">
            <v>COS - TBD17</v>
          </cell>
        </row>
        <row r="348">
          <cell r="A348" t="str">
            <v>PL0254</v>
          </cell>
          <cell r="B348" t="str">
            <v>COS - TBD18</v>
          </cell>
        </row>
        <row r="349">
          <cell r="A349" t="str">
            <v>PL0255</v>
          </cell>
          <cell r="B349" t="str">
            <v>COS - TBD19</v>
          </cell>
        </row>
        <row r="350">
          <cell r="A350" t="str">
            <v>PL0256</v>
          </cell>
          <cell r="B350" t="str">
            <v>COS - TBD20</v>
          </cell>
        </row>
        <row r="351">
          <cell r="A351" t="str">
            <v>PL0260</v>
          </cell>
          <cell r="B351" t="str">
            <v>Administrative expenses</v>
          </cell>
        </row>
        <row r="352">
          <cell r="A352" t="str">
            <v>PL0261</v>
          </cell>
          <cell r="B352" t="str">
            <v>Selling and distribution expenses</v>
          </cell>
        </row>
        <row r="353">
          <cell r="A353" t="str">
            <v>PL0262</v>
          </cell>
          <cell r="B353" t="str">
            <v>Commission expenses</v>
          </cell>
        </row>
        <row r="354">
          <cell r="A354" t="str">
            <v>PL0263</v>
          </cell>
          <cell r="B354" t="str">
            <v>Oil transportation costs (Transneft)</v>
          </cell>
        </row>
        <row r="355">
          <cell r="A355" t="str">
            <v>PL0264</v>
          </cell>
          <cell r="B355" t="str">
            <v>Bank charges</v>
          </cell>
        </row>
        <row r="356">
          <cell r="A356" t="str">
            <v>PL0265</v>
          </cell>
          <cell r="B356" t="str">
            <v>Bad debts provision - P&amp;L</v>
          </cell>
        </row>
        <row r="357">
          <cell r="A357" t="str">
            <v>PL0266</v>
          </cell>
          <cell r="B357" t="str">
            <v>Insurance expenses</v>
          </cell>
        </row>
        <row r="358">
          <cell r="A358" t="str">
            <v>PL0267</v>
          </cell>
          <cell r="B358" t="str">
            <v>Feasibility studies</v>
          </cell>
        </row>
        <row r="359">
          <cell r="A359" t="str">
            <v>PL0268</v>
          </cell>
          <cell r="B359" t="str">
            <v>Consulting, legal, marketing and audit services</v>
          </cell>
        </row>
        <row r="360">
          <cell r="A360" t="str">
            <v>PL0269</v>
          </cell>
          <cell r="B360" t="str">
            <v>Selling, general and admin expenses - TBD3</v>
          </cell>
        </row>
        <row r="361">
          <cell r="A361" t="str">
            <v>PL0270</v>
          </cell>
          <cell r="B361" t="str">
            <v>Amortisation of intangible assets</v>
          </cell>
        </row>
        <row r="362">
          <cell r="A362" t="str">
            <v>PL0271</v>
          </cell>
          <cell r="B362" t="str">
            <v>S,G&amp;A salaries</v>
          </cell>
        </row>
        <row r="363">
          <cell r="A363" t="str">
            <v>PL0272</v>
          </cell>
          <cell r="B363" t="str">
            <v>Selling, general and admin expenses - TBD6</v>
          </cell>
        </row>
        <row r="364">
          <cell r="A364" t="str">
            <v>PL0273</v>
          </cell>
          <cell r="B364" t="str">
            <v>Selling, general and admin expenses - TBD7</v>
          </cell>
        </row>
        <row r="366">
          <cell r="B366" t="str">
            <v>Monetary effects</v>
          </cell>
        </row>
        <row r="367">
          <cell r="A367" t="str">
            <v>PL091</v>
          </cell>
          <cell r="B367" t="str">
            <v>Exchange (gain)/loss</v>
          </cell>
        </row>
        <row r="368">
          <cell r="A368" t="str">
            <v>PL092</v>
          </cell>
          <cell r="B368" t="str">
            <v>Exchange (gain)/loss on DT</v>
          </cell>
        </row>
        <row r="369">
          <cell r="A369" t="str">
            <v>PL093</v>
          </cell>
          <cell r="B369" t="str">
            <v>Interest expense</v>
          </cell>
        </row>
        <row r="371">
          <cell r="B371" t="str">
            <v>Income taxes</v>
          </cell>
        </row>
        <row r="372">
          <cell r="A372" t="str">
            <v>PL094</v>
          </cell>
          <cell r="B372" t="str">
            <v>Current tax expense</v>
          </cell>
        </row>
        <row r="373">
          <cell r="A373" t="str">
            <v>PL095</v>
          </cell>
          <cell r="B373" t="str">
            <v>Deferred tax expense - RSA</v>
          </cell>
        </row>
        <row r="374">
          <cell r="A374" t="str">
            <v>PL0951</v>
          </cell>
          <cell r="B374" t="str">
            <v>Deferred tax expense - Fair value adjustments</v>
          </cell>
        </row>
        <row r="375">
          <cell r="A375" t="str">
            <v>PL0952</v>
          </cell>
          <cell r="B375" t="str">
            <v>Deferred tax expense - Unremitted earnings</v>
          </cell>
        </row>
        <row r="376">
          <cell r="A376" t="str">
            <v>PL0953</v>
          </cell>
          <cell r="B376" t="str">
            <v>Deferred tax expense - SFAS 143</v>
          </cell>
        </row>
        <row r="377">
          <cell r="A377" t="str">
            <v>PL0954</v>
          </cell>
          <cell r="B377" t="str">
            <v>Deferred tax expense - Other</v>
          </cell>
        </row>
        <row r="379">
          <cell r="A379" t="str">
            <v>PL096</v>
          </cell>
          <cell r="B379" t="str">
            <v>Minority interest</v>
          </cell>
        </row>
        <row r="380">
          <cell r="A380" t="str">
            <v>PL098</v>
          </cell>
          <cell r="B380" t="str">
            <v>Extraordinary (gains)/losses</v>
          </cell>
        </row>
        <row r="381">
          <cell r="A381" t="str">
            <v>PL097</v>
          </cell>
          <cell r="B381" t="str">
            <v>Dividends Paid</v>
          </cell>
        </row>
        <row r="383">
          <cell r="B383" t="str">
            <v xml:space="preserve">Retained (profit)/loss of the current period </v>
          </cell>
        </row>
        <row r="384">
          <cell r="B384" t="str">
            <v>Check balance (suspense)</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Main"/>
      <sheetName val="Факт Dink-Inv 2004"/>
      <sheetName val="Справочники"/>
      <sheetName val="экспорт"/>
      <sheetName val="НЕДЕЛИ"/>
      <sheetName val="qc_Formula"/>
      <sheetName val="yc_Formula"/>
      <sheetName val="Tornado"/>
      <sheetName val="добыча"/>
      <sheetName val="Nodes"/>
      <sheetName val="Periods"/>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 Бюджет - исходный"/>
      <sheetName val=" Бюджет - корректировки"/>
      <sheetName val=" Бюджет - скорректированный"/>
      <sheetName val="Свод по факту исполнения"/>
      <sheetName val="Янв 04"/>
      <sheetName val="Фев 04"/>
      <sheetName val="Март 04"/>
      <sheetName val="Апр 04"/>
      <sheetName val="Май 04"/>
      <sheetName val="Июн 04"/>
      <sheetName val="Июль 04"/>
      <sheetName val="Авг 04"/>
      <sheetName val="Сен 04"/>
      <sheetName val="Окт 04"/>
      <sheetName val="Ноя 04"/>
      <sheetName val="Дек 04"/>
      <sheetName val="Ст-ть и аллокация функций"/>
      <sheetName val="Аллокация на ДО "/>
      <sheetName val="#ССЫЛКА"/>
      <sheetName val="Факт Dink-Inv 2004"/>
      <sheetName val="Факт Dink_Inv 2004"/>
      <sheetName val="Neste Oy"/>
      <sheetName val="экспорт"/>
      <sheetName val="A"/>
      <sheetName val="Финплан"/>
      <sheetName val="Main"/>
      <sheetName val="RSOILBAL"/>
      <sheetName val="yc_Formula"/>
      <sheetName val="Бобровка"/>
      <sheetName val="НЕДЕЛИ"/>
      <sheetName val="a) Core Financials"/>
      <sheetName val="FYI"/>
      <sheetName val="MAIN_PARAMETERS"/>
      <sheetName val="Fin plan"/>
      <sheetName val="analysis"/>
      <sheetName val="Context_LTP"/>
      <sheetName val="GFO Data"/>
      <sheetName val="Carry out projects"/>
      <sheetName val="Control"/>
      <sheetName val="Ref"/>
      <sheetName val="Ссылка FC03"/>
      <sheetName val="Input"/>
      <sheetName val="Summary-USD"/>
      <sheetName val="ПЛАН ПЛАТЕЖЕЙ НА"/>
      <sheetName val="Параметры_i"/>
      <sheetName val="обзор"/>
      <sheetName val="Salaries"/>
      <sheetName val="коэф"/>
      <sheetName val="Nodes"/>
      <sheetName val="Periods"/>
      <sheetName val="добыча"/>
      <sheetName val="Materials"/>
      <sheetName val="Price 2007 w disc"/>
      <sheetName val="cd_Data"/>
      <sheetName val="Downstream - performance"/>
      <sheetName val="Стандарты"/>
      <sheetName val="Протокол 1"/>
      <sheetName val="ст ГТМ"/>
      <sheetName val="Обоснование"/>
      <sheetName val="Resources"/>
      <sheetName val="Затраты"/>
      <sheetName val="Параметры"/>
      <sheetName val="таб.3.1.3 (5)"/>
      <sheetName val=" БЮДЖЕТ ПРОЕКТА"/>
      <sheetName val="Cover page"/>
      <sheetName val="PL"/>
      <sheetName val="Sheet1"/>
      <sheetName val="ОПТ"/>
      <sheetName val="Brent_Urals"/>
      <sheetName val="US_GAAP"/>
      <sheetName val="XLR_NoRangeSheet"/>
      <sheetName val="Lookup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Test"/>
      <sheetName val="данные"/>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T_Jan_Feb"/>
      <sheetName val="UPT_Mar"/>
      <sheetName val="UPT_Apr"/>
      <sheetName val="UPT_May"/>
      <sheetName val="UPT_Jun"/>
      <sheetName val="UPT_Jul"/>
      <sheetName val="UPT_Aug"/>
      <sheetName val="UPT_Sep"/>
      <sheetName val="по всем МВЗ(ва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rams"/>
      <sheetName val="what_s_new"/>
      <sheetName val="HELP"/>
      <sheetName val="DCL"/>
      <sheetName val="DVL"/>
      <sheetName val="DPL"/>
      <sheetName val="DAL"/>
      <sheetName val="SUN"/>
      <sheetName val="Code"/>
      <sheetName val="Check"/>
    </sheetNames>
    <sheetDataSet>
      <sheetData sheetId="0" refreshError="1"/>
      <sheetData sheetId="1" refreshError="1">
        <row r="2">
          <cell r="A2" t="str">
            <v>2203</v>
          </cell>
        </row>
        <row r="3">
          <cell r="A3" t="str">
            <v>2204</v>
          </cell>
        </row>
        <row r="4">
          <cell r="A4" t="str">
            <v>2205</v>
          </cell>
        </row>
        <row r="5">
          <cell r="A5" t="str">
            <v>2229</v>
          </cell>
        </row>
        <row r="6">
          <cell r="A6" t="str">
            <v>2411</v>
          </cell>
        </row>
        <row r="7">
          <cell r="A7" t="str">
            <v>2413</v>
          </cell>
        </row>
        <row r="13">
          <cell r="A13" t="str">
            <v>ACTUAL</v>
          </cell>
        </row>
        <row r="14">
          <cell r="A14" t="str">
            <v>LASTYR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PL_inf"/>
      <sheetName val="Infl_fact"/>
      <sheetName val="Index"/>
      <sheetName val="Main"/>
      <sheetName val="RSA_FS"/>
      <sheetName val="Journals"/>
      <sheetName val="HE_PL"/>
      <sheetName val="HE_BS"/>
      <sheetName val="MassTrail"/>
      <sheetName val="US_GAAP"/>
      <sheetName val="PL-Analysis"/>
      <sheetName val="Def Tax"/>
      <sheetName val="CHECK!"/>
      <sheetName val="Recon"/>
      <sheetName val="FA_1"/>
      <sheetName val="Inv_1"/>
      <sheetName val="Auxiliary"/>
      <sheetName val="Mac_1"/>
      <sheetName val="Breakdown"/>
      <sheetName val="Nodes"/>
      <sheetName val="Periods"/>
      <sheetName val="NPZ"/>
      <sheetName val="Cons_Journ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N template"/>
      <sheetName val="Journals 2008"/>
      <sheetName val="Values"/>
      <sheetName val="roll to 2008"/>
      <sheetName val="roll to 2007"/>
    </sheetNames>
    <sheetDataSet>
      <sheetData sheetId="0" refreshError="1">
        <row r="1">
          <cell r="B1" t="str">
            <v>ACTUAL</v>
          </cell>
        </row>
        <row r="2">
          <cell r="B2" t="str">
            <v>Master_New_2008</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Project(FinContr)"/>
      <sheetName val="Rospan(Accounting)"/>
      <sheetName val="RC MTO(Accounting)"/>
      <sheetName val="Main"/>
      <sheetName val="MAIN_PARAMETER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LOG"/>
      <sheetName val="FINDINGS"/>
      <sheetName val="MAIN_PARAMETERS"/>
      <sheetName val="Periods"/>
      <sheetName val="OPTIONS"/>
      <sheetName val="capex_data"/>
      <sheetName val="Cases"/>
      <sheetName val="Nodes"/>
      <sheetName val="Materials"/>
      <sheetName val="Expenditure"/>
      <sheetName val="Modes"/>
      <sheetName val="Production"/>
      <sheetName val="Capacity"/>
      <sheetName val="CapacityTransport"/>
      <sheetName val="Transport"/>
      <sheetName val="Operations"/>
      <sheetName val="CapacityOperations"/>
      <sheetName val="Capacity_Refining"/>
      <sheetName val="Kropotkin"/>
      <sheetName val="Sokolova"/>
      <sheetName val="Borodaevka"/>
      <sheetName val="Orenburg"/>
      <sheetName val="RNPK"/>
      <sheetName val="SNPZ"/>
      <sheetName val="ONOS"/>
      <sheetName val="NNPO"/>
      <sheetName val="KNPZ"/>
      <sheetName val="ExportDemand"/>
      <sheetName val="Cap_Demand"/>
      <sheetName val="CapacityDemand"/>
      <sheetName val="DomesticDemand"/>
      <sheetName val="CapexDemandDummy"/>
      <sheetName val="НЕДЕЛИ"/>
      <sheetName val="Баланс"/>
      <sheetName val="данные"/>
      <sheetName val="Финплан"/>
      <sheetName val="Rus"/>
      <sheetName val="BU Cash fixed costs by type"/>
      <sheetName val="volumes08-12"/>
      <sheetName val="Production and Rate Spend"/>
      <sheetName val="1"/>
      <sheetName val="LTD"/>
      <sheetName val="$60 Case_STL"/>
      <sheetName val="ИсхОписание"/>
      <sheetName val="Minor mods"/>
      <sheetName val="Carry out projects"/>
      <sheetName val="Цены"/>
      <sheetName val="Assumpt"/>
      <sheetName val="Input"/>
      <sheetName val="Main"/>
      <sheetName val="Control"/>
      <sheetName val="ÍÅÄÅËÈ"/>
      <sheetName val="Áàëàíñ"/>
      <sheetName val="äàííûå"/>
      <sheetName val="Перечень"/>
      <sheetName val="Справочники"/>
      <sheetName val="Output"/>
      <sheetName val="Обоснование"/>
      <sheetName val="Управление"/>
      <sheetName val="контроль"/>
      <sheetName val="Opex Table"/>
      <sheetName val="фонд "/>
      <sheetName val="NA"/>
    </sheetNames>
    <sheetDataSet>
      <sheetData sheetId="0"/>
      <sheetData sheetId="1"/>
      <sheetData sheetId="2"/>
      <sheetData sheetId="3"/>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s"/>
      <sheetName val="Info"/>
      <sheetName val="Key Metrics"/>
      <sheetName val="RoT"/>
      <sheetName val="6m11 v 6m10"/>
      <sheetName val="1_Price-Market &amp; Duty (6m)"/>
      <sheetName val="2_Forex &amp; inflation (6m)"/>
      <sheetName val="3_Costs (6m)"/>
      <sheetName val="4_MET (6m)"/>
      <sheetName val="5_Export duties (6m)"/>
      <sheetName val="6_Excise (6m)"/>
      <sheetName val="7_IT (6m)"/>
      <sheetName val="8_One-offs &amp; other (6m)"/>
      <sheetName val="2Q11 v 1Q11 (ex NI dynamics) "/>
      <sheetName val="1_Price-Market &amp; Duty (Q)"/>
      <sheetName val="2_Forex (Q)"/>
      <sheetName val="3_Costs (2Q11v2Q10)"/>
      <sheetName val="3_Costs (2Qv1Q)"/>
      <sheetName val="3_MET (Q)"/>
      <sheetName val="4_Export duties (Q)"/>
      <sheetName val="5_Excise (Q)"/>
      <sheetName val="6_One-offs &amp; other"/>
      <sheetName val="Support-&gt;"/>
      <sheetName val="BAC"/>
      <sheetName val="TBHvTIL"/>
      <sheetName val="Stock Movs"/>
      <sheetName val="Rates"/>
      <sheetName val="Slavneft"/>
      <sheetName val="OilFlow"/>
      <sheetName val="OilFlow (bbl)"/>
      <sheetName val="PL"/>
      <sheetName val="PL(FS)"/>
      <sheetName val="BS"/>
      <sheetName val="BS(FS)"/>
      <sheetName val="Note 1"/>
      <sheetName val="Note 2"/>
      <sheetName val="Note 4"/>
      <sheetName val="Note 4 (bbl)"/>
      <sheetName val="10 Tax"/>
      <sheetName val="Note 5"/>
      <sheetName val="RoT2007"/>
      <sheetName val="Tax calculator"/>
      <sheetName val="PL_06m11"/>
      <sheetName val="BS_06m11"/>
      <sheetName val="OilFlow_06m11"/>
      <sheetName val="BExRepositorySheet"/>
      <sheetName val="MappBS"/>
      <sheetName val="MappPL"/>
      <sheetName val="MappOF"/>
      <sheetName val="ROACE&amp;GEARING"/>
    </sheetNames>
    <sheetDataSet>
      <sheetData sheetId="0">
        <row r="48">
          <cell r="F48">
            <v>1</v>
          </cell>
        </row>
        <row r="50">
          <cell r="F50">
            <v>4</v>
          </cell>
        </row>
        <row r="52">
          <cell r="F52">
            <v>2</v>
          </cell>
        </row>
      </sheetData>
      <sheetData sheetId="1"/>
      <sheetData sheetId="2"/>
      <sheetData sheetId="3"/>
      <sheetData sheetId="4"/>
      <sheetData sheetId="5">
        <row r="45">
          <cell r="AK45">
            <v>11164.146000000001</v>
          </cell>
        </row>
      </sheetData>
      <sheetData sheetId="6"/>
      <sheetData sheetId="7">
        <row r="13">
          <cell r="B13">
            <v>32.589364185955922</v>
          </cell>
        </row>
      </sheetData>
      <sheetData sheetId="8">
        <row r="20">
          <cell r="J20">
            <v>486.94400000000002</v>
          </cell>
        </row>
      </sheetData>
      <sheetData sheetId="9"/>
      <sheetData sheetId="10"/>
      <sheetData sheetId="11"/>
      <sheetData sheetId="12"/>
      <sheetData sheetId="13"/>
      <sheetData sheetId="14">
        <row r="42">
          <cell r="L42">
            <v>15.78794434712573</v>
          </cell>
        </row>
      </sheetData>
      <sheetData sheetId="15"/>
      <sheetData sheetId="16">
        <row r="13">
          <cell r="B13">
            <v>15.78794434712573</v>
          </cell>
        </row>
      </sheetData>
      <sheetData sheetId="17"/>
      <sheetData sheetId="18">
        <row r="20">
          <cell r="J20">
            <v>5.5250000000000341</v>
          </cell>
        </row>
      </sheetData>
      <sheetData sheetId="19"/>
      <sheetData sheetId="20"/>
      <sheetData sheetId="21"/>
      <sheetData sheetId="22"/>
      <sheetData sheetId="23"/>
      <sheetData sheetId="24"/>
      <sheetData sheetId="25"/>
      <sheetData sheetId="26"/>
      <sheetData sheetId="27"/>
      <sheetData sheetId="28">
        <row r="5">
          <cell r="C5">
            <v>16.607477184640004</v>
          </cell>
        </row>
      </sheetData>
      <sheetData sheetId="29"/>
      <sheetData sheetId="30"/>
      <sheetData sheetId="31">
        <row r="4">
          <cell r="B4">
            <v>-15382</v>
          </cell>
        </row>
      </sheetData>
      <sheetData sheetId="32"/>
      <sheetData sheetId="33"/>
      <sheetData sheetId="34"/>
      <sheetData sheetId="35"/>
      <sheetData sheetId="36"/>
      <sheetData sheetId="37">
        <row r="18">
          <cell r="B18">
            <v>95.153999999999996</v>
          </cell>
        </row>
      </sheetData>
      <sheetData sheetId="38"/>
      <sheetData sheetId="39"/>
      <sheetData sheetId="40"/>
      <sheetData sheetId="41"/>
      <sheetData sheetId="42"/>
      <sheetData sheetId="43">
        <row r="182">
          <cell r="B182">
            <v>-238532</v>
          </cell>
        </row>
      </sheetData>
      <sheetData sheetId="44"/>
      <sheetData sheetId="45">
        <row r="53">
          <cell r="B53">
            <v>0</v>
          </cell>
        </row>
      </sheetData>
      <sheetData sheetId="46"/>
      <sheetData sheetId="47"/>
      <sheetData sheetId="48"/>
      <sheetData sheetId="49"/>
      <sheetData sheetId="5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3" Type="http://schemas.openxmlformats.org/officeDocument/2006/relationships/printerSettings" Target="../printerSettings/printerSettings3.bin"/><Relationship Id="rId7" Type="http://schemas.openxmlformats.org/officeDocument/2006/relationships/customProperty" Target="../customProperty2.bin"/><Relationship Id="rId12"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ustomProperty" Target="../customProperty1.bin"/><Relationship Id="rId11" Type="http://schemas.openxmlformats.org/officeDocument/2006/relationships/control" Target="../activeX/activeX1.xml"/><Relationship Id="rId5" Type="http://schemas.openxmlformats.org/officeDocument/2006/relationships/printerSettings" Target="../printerSettings/printerSettings4.bin"/><Relationship Id="rId10" Type="http://schemas.openxmlformats.org/officeDocument/2006/relationships/vmlDrawing" Target="../drawings/vmlDrawing1.vml"/><Relationship Id="rId4" Type="http://schemas.openxmlformats.org/officeDocument/2006/relationships/hyperlink" Target="../../Users/DykovaTA/AppData/Local/Microsoft/Windows/Temporary%20Internet%20Files/2%20&#1082;&#1074;&#1072;&#1088;&#1090;&#1072;&#1083;%202018/Databook/new%20template%20for%20public/Databook_6m%202018.xls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customProperty" Target="../customProperty28.bin"/><Relationship Id="rId7" Type="http://schemas.openxmlformats.org/officeDocument/2006/relationships/vmlDrawing" Target="../drawings/vmlDrawing12.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drawing" Target="../drawings/drawing10.xml"/><Relationship Id="rId5" Type="http://schemas.openxmlformats.org/officeDocument/2006/relationships/customProperty" Target="../customProperty30.bin"/><Relationship Id="rId4" Type="http://schemas.openxmlformats.org/officeDocument/2006/relationships/customProperty" Target="../customProperty29.bin"/><Relationship Id="rId9" Type="http://schemas.openxmlformats.org/officeDocument/2006/relationships/image" Target="../media/image12.emf"/></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41.bin"/><Relationship Id="rId7" Type="http://schemas.openxmlformats.org/officeDocument/2006/relationships/customProperty" Target="../customProperty33.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customProperty" Target="../customProperty32.bin"/><Relationship Id="rId11" Type="http://schemas.openxmlformats.org/officeDocument/2006/relationships/image" Target="../media/image13.emf"/><Relationship Id="rId5" Type="http://schemas.openxmlformats.org/officeDocument/2006/relationships/customProperty" Target="../customProperty31.bin"/><Relationship Id="rId10" Type="http://schemas.openxmlformats.org/officeDocument/2006/relationships/control" Target="../activeX/activeX11.xml"/><Relationship Id="rId4" Type="http://schemas.openxmlformats.org/officeDocument/2006/relationships/printerSettings" Target="../printerSettings/printerSettings42.bin"/><Relationship Id="rId9" Type="http://schemas.openxmlformats.org/officeDocument/2006/relationships/vmlDrawing" Target="../drawings/vmlDrawing13.v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printerSettings" Target="../printerSettings/printerSettings45.bin"/><Relationship Id="rId7" Type="http://schemas.openxmlformats.org/officeDocument/2006/relationships/customProperty" Target="../customProperty36.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ustomProperty" Target="../customProperty35.bin"/><Relationship Id="rId11" Type="http://schemas.openxmlformats.org/officeDocument/2006/relationships/image" Target="../media/image14.emf"/><Relationship Id="rId5" Type="http://schemas.openxmlformats.org/officeDocument/2006/relationships/customProperty" Target="../customProperty34.bin"/><Relationship Id="rId10" Type="http://schemas.openxmlformats.org/officeDocument/2006/relationships/control" Target="../activeX/activeX12.xml"/><Relationship Id="rId4" Type="http://schemas.openxmlformats.org/officeDocument/2006/relationships/printerSettings" Target="../printerSettings/printerSettings46.bin"/><Relationship Id="rId9" Type="http://schemas.openxmlformats.org/officeDocument/2006/relationships/vmlDrawing" Target="../drawings/vmlDrawing14.v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printerSettings" Target="../printerSettings/printerSettings49.bin"/><Relationship Id="rId7" Type="http://schemas.openxmlformats.org/officeDocument/2006/relationships/customProperty" Target="../customProperty3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customProperty" Target="../customProperty38.bin"/><Relationship Id="rId11" Type="http://schemas.openxmlformats.org/officeDocument/2006/relationships/image" Target="../media/image15.emf"/><Relationship Id="rId5" Type="http://schemas.openxmlformats.org/officeDocument/2006/relationships/customProperty" Target="../customProperty37.bin"/><Relationship Id="rId10" Type="http://schemas.openxmlformats.org/officeDocument/2006/relationships/control" Target="../activeX/activeX13.xml"/><Relationship Id="rId4" Type="http://schemas.openxmlformats.org/officeDocument/2006/relationships/printerSettings" Target="../printerSettings/printerSettings50.bin"/><Relationship Id="rId9" Type="http://schemas.openxmlformats.org/officeDocument/2006/relationships/vmlDrawing" Target="../drawings/vmlDrawing15.v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printerSettings" Target="../printerSettings/printerSettings53.bin"/><Relationship Id="rId7" Type="http://schemas.openxmlformats.org/officeDocument/2006/relationships/customProperty" Target="../customProperty42.bin"/><Relationship Id="rId12" Type="http://schemas.openxmlformats.org/officeDocument/2006/relationships/image" Target="../media/image16.emf"/><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customProperty" Target="../customProperty41.bin"/><Relationship Id="rId11" Type="http://schemas.openxmlformats.org/officeDocument/2006/relationships/control" Target="../activeX/activeX14.xml"/><Relationship Id="rId5" Type="http://schemas.openxmlformats.org/officeDocument/2006/relationships/customProperty" Target="../customProperty40.bin"/><Relationship Id="rId10" Type="http://schemas.openxmlformats.org/officeDocument/2006/relationships/vmlDrawing" Target="../drawings/vmlDrawing17.vml"/><Relationship Id="rId4" Type="http://schemas.openxmlformats.org/officeDocument/2006/relationships/printerSettings" Target="../printerSettings/printerSettings54.bin"/><Relationship Id="rId9" Type="http://schemas.openxmlformats.org/officeDocument/2006/relationships/vmlDrawing" Target="../drawings/vmlDrawing16.vml"/></Relationships>
</file>

<file path=xl/worksheets/_rels/sheet15.xml.rels><?xml version="1.0" encoding="UTF-8" standalone="yes"?>
<Relationships xmlns="http://schemas.openxmlformats.org/package/2006/relationships"><Relationship Id="rId8" Type="http://schemas.openxmlformats.org/officeDocument/2006/relationships/vmlDrawing" Target="../drawings/vmlDrawing19.vml"/><Relationship Id="rId3" Type="http://schemas.openxmlformats.org/officeDocument/2006/relationships/customProperty" Target="../customProperty43.bin"/><Relationship Id="rId7" Type="http://schemas.openxmlformats.org/officeDocument/2006/relationships/vmlDrawing" Target="../drawings/vmlDrawing18.v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drawing" Target="../drawings/drawing15.xml"/><Relationship Id="rId5" Type="http://schemas.openxmlformats.org/officeDocument/2006/relationships/customProperty" Target="../customProperty45.bin"/><Relationship Id="rId10" Type="http://schemas.openxmlformats.org/officeDocument/2006/relationships/image" Target="../media/image17.emf"/><Relationship Id="rId4" Type="http://schemas.openxmlformats.org/officeDocument/2006/relationships/customProperty" Target="../customProperty44.bin"/><Relationship Id="rId9" Type="http://schemas.openxmlformats.org/officeDocument/2006/relationships/control" Target="../activeX/activeX1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7.bin"/><Relationship Id="rId7" Type="http://schemas.openxmlformats.org/officeDocument/2006/relationships/customProperty" Target="../customProperty6.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ustomProperty" Target="../customProperty5.bin"/><Relationship Id="rId11" Type="http://schemas.openxmlformats.org/officeDocument/2006/relationships/image" Target="../media/image3.emf"/><Relationship Id="rId5" Type="http://schemas.openxmlformats.org/officeDocument/2006/relationships/customProperty" Target="../customProperty4.bin"/><Relationship Id="rId10" Type="http://schemas.openxmlformats.org/officeDocument/2006/relationships/control" Target="../activeX/activeX2.xml"/><Relationship Id="rId4" Type="http://schemas.openxmlformats.org/officeDocument/2006/relationships/printerSettings" Target="../printerSettings/printerSettings8.bin"/><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1.bin"/><Relationship Id="rId7" Type="http://schemas.openxmlformats.org/officeDocument/2006/relationships/customProperty" Target="../customProperty9.bin"/><Relationship Id="rId12" Type="http://schemas.openxmlformats.org/officeDocument/2006/relationships/image" Target="../media/image4.emf"/><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ustomProperty" Target="../customProperty8.bin"/><Relationship Id="rId11" Type="http://schemas.openxmlformats.org/officeDocument/2006/relationships/control" Target="../activeX/activeX3.xml"/><Relationship Id="rId5" Type="http://schemas.openxmlformats.org/officeDocument/2006/relationships/customProperty" Target="../customProperty7.bin"/><Relationship Id="rId10" Type="http://schemas.openxmlformats.org/officeDocument/2006/relationships/vmlDrawing" Target="../drawings/vmlDrawing4.vml"/><Relationship Id="rId4" Type="http://schemas.openxmlformats.org/officeDocument/2006/relationships/printerSettings" Target="../printerSettings/printerSettings12.bin"/><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5.bin"/><Relationship Id="rId7" Type="http://schemas.openxmlformats.org/officeDocument/2006/relationships/customProperty" Target="../customProperty12.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ustomProperty" Target="../customProperty11.bin"/><Relationship Id="rId11" Type="http://schemas.openxmlformats.org/officeDocument/2006/relationships/image" Target="../media/image6.emf"/><Relationship Id="rId5" Type="http://schemas.openxmlformats.org/officeDocument/2006/relationships/customProperty" Target="../customProperty10.bin"/><Relationship Id="rId10" Type="http://schemas.openxmlformats.org/officeDocument/2006/relationships/control" Target="../activeX/activeX4.xml"/><Relationship Id="rId4" Type="http://schemas.openxmlformats.org/officeDocument/2006/relationships/printerSettings" Target="../printerSettings/printerSettings16.bin"/><Relationship Id="rId9"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9.bin"/><Relationship Id="rId7" Type="http://schemas.openxmlformats.org/officeDocument/2006/relationships/customProperty" Target="../customProperty15.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ustomProperty" Target="../customProperty14.bin"/><Relationship Id="rId11" Type="http://schemas.openxmlformats.org/officeDocument/2006/relationships/image" Target="../media/image7.emf"/><Relationship Id="rId5" Type="http://schemas.openxmlformats.org/officeDocument/2006/relationships/customProperty" Target="../customProperty13.bin"/><Relationship Id="rId10" Type="http://schemas.openxmlformats.org/officeDocument/2006/relationships/control" Target="../activeX/activeX5.xml"/><Relationship Id="rId4" Type="http://schemas.openxmlformats.org/officeDocument/2006/relationships/printerSettings" Target="../printerSettings/printerSettings20.bin"/><Relationship Id="rId9"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23.bin"/><Relationship Id="rId7" Type="http://schemas.openxmlformats.org/officeDocument/2006/relationships/customProperty" Target="../customProperty18.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ustomProperty" Target="../customProperty17.bin"/><Relationship Id="rId11" Type="http://schemas.openxmlformats.org/officeDocument/2006/relationships/image" Target="../media/image8.emf"/><Relationship Id="rId5" Type="http://schemas.openxmlformats.org/officeDocument/2006/relationships/customProperty" Target="../customProperty16.bin"/><Relationship Id="rId10" Type="http://schemas.openxmlformats.org/officeDocument/2006/relationships/control" Target="../activeX/activeX6.xml"/><Relationship Id="rId4" Type="http://schemas.openxmlformats.org/officeDocument/2006/relationships/printerSettings" Target="../printerSettings/printerSettings24.bin"/><Relationship Id="rId9"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27.bin"/><Relationship Id="rId7" Type="http://schemas.openxmlformats.org/officeDocument/2006/relationships/customProperty" Target="../customProperty2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ustomProperty" Target="../customProperty20.bin"/><Relationship Id="rId11" Type="http://schemas.openxmlformats.org/officeDocument/2006/relationships/image" Target="../media/image9.emf"/><Relationship Id="rId5" Type="http://schemas.openxmlformats.org/officeDocument/2006/relationships/customProperty" Target="../customProperty19.bin"/><Relationship Id="rId10" Type="http://schemas.openxmlformats.org/officeDocument/2006/relationships/control" Target="../activeX/activeX7.xml"/><Relationship Id="rId4" Type="http://schemas.openxmlformats.org/officeDocument/2006/relationships/printerSettings" Target="../printerSettings/printerSettings28.bin"/><Relationship Id="rId9"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31.bin"/><Relationship Id="rId7" Type="http://schemas.openxmlformats.org/officeDocument/2006/relationships/customProperty" Target="../customProperty24.bin"/><Relationship Id="rId12" Type="http://schemas.openxmlformats.org/officeDocument/2006/relationships/image" Target="../media/image10.emf"/><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ustomProperty" Target="../customProperty23.bin"/><Relationship Id="rId11" Type="http://schemas.openxmlformats.org/officeDocument/2006/relationships/control" Target="../activeX/activeX8.xml"/><Relationship Id="rId5" Type="http://schemas.openxmlformats.org/officeDocument/2006/relationships/customProperty" Target="../customProperty22.bin"/><Relationship Id="rId10" Type="http://schemas.openxmlformats.org/officeDocument/2006/relationships/vmlDrawing" Target="../drawings/vmlDrawing10.vml"/><Relationship Id="rId4" Type="http://schemas.openxmlformats.org/officeDocument/2006/relationships/printerSettings" Target="../printerSettings/printerSettings32.bin"/><Relationship Id="rId9"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35.bin"/><Relationship Id="rId7" Type="http://schemas.openxmlformats.org/officeDocument/2006/relationships/customProperty" Target="../customProperty27.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ustomProperty" Target="../customProperty26.bin"/><Relationship Id="rId11" Type="http://schemas.openxmlformats.org/officeDocument/2006/relationships/image" Target="../media/image11.emf"/><Relationship Id="rId5" Type="http://schemas.openxmlformats.org/officeDocument/2006/relationships/customProperty" Target="../customProperty25.bin"/><Relationship Id="rId10" Type="http://schemas.openxmlformats.org/officeDocument/2006/relationships/control" Target="../activeX/activeX9.xml"/><Relationship Id="rId4" Type="http://schemas.openxmlformats.org/officeDocument/2006/relationships/printerSettings" Target="../printerSettings/printerSettings36.bin"/><Relationship Id="rId9"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3:H37"/>
  <sheetViews>
    <sheetView tabSelected="1" zoomScaleNormal="100" workbookViewId="0">
      <selection activeCell="B32" sqref="B32"/>
    </sheetView>
  </sheetViews>
  <sheetFormatPr defaultColWidth="8.85546875" defaultRowHeight="12.75" x14ac:dyDescent="0.2"/>
  <cols>
    <col min="1" max="1" width="8.85546875" style="3"/>
    <col min="2" max="2" width="37.42578125" style="3" bestFit="1" customWidth="1"/>
    <col min="3" max="3" width="13.85546875" style="3" customWidth="1"/>
    <col min="4" max="4" width="17.85546875" style="3" customWidth="1"/>
    <col min="5" max="5" width="27.85546875" style="3" customWidth="1"/>
    <col min="6" max="16384" width="8.85546875" style="3"/>
  </cols>
  <sheetData>
    <row r="3" spans="1:7" x14ac:dyDescent="0.2">
      <c r="D3" s="341"/>
    </row>
    <row r="4" spans="1:7" x14ac:dyDescent="0.2">
      <c r="D4" s="342" t="s">
        <v>0</v>
      </c>
    </row>
    <row r="6" spans="1:7" ht="14.25" x14ac:dyDescent="0.2">
      <c r="B6" s="4" t="s">
        <v>642</v>
      </c>
    </row>
    <row r="7" spans="1:7" x14ac:dyDescent="0.2">
      <c r="B7" s="5" t="s">
        <v>436</v>
      </c>
      <c r="D7" s="2"/>
    </row>
    <row r="8" spans="1:7" x14ac:dyDescent="0.2">
      <c r="B8" s="6" t="s">
        <v>1</v>
      </c>
      <c r="C8" s="7"/>
      <c r="D8" s="3" t="s">
        <v>376</v>
      </c>
    </row>
    <row r="9" spans="1:7" x14ac:dyDescent="0.2">
      <c r="B9" s="6" t="s">
        <v>2</v>
      </c>
      <c r="C9" s="7"/>
      <c r="D9" s="3" t="s">
        <v>461</v>
      </c>
    </row>
    <row r="10" spans="1:7" x14ac:dyDescent="0.2">
      <c r="B10" s="6" t="s">
        <v>3</v>
      </c>
      <c r="C10" s="7"/>
      <c r="D10" s="3" t="s">
        <v>376</v>
      </c>
    </row>
    <row r="12" spans="1:7" x14ac:dyDescent="0.2">
      <c r="B12" s="3" t="s">
        <v>4</v>
      </c>
      <c r="D12" s="389">
        <v>158245476</v>
      </c>
      <c r="G12" s="22"/>
    </row>
    <row r="13" spans="1:7" x14ac:dyDescent="0.2">
      <c r="B13" s="8" t="s">
        <v>5</v>
      </c>
      <c r="C13" s="9"/>
      <c r="D13" s="10" t="s">
        <v>580</v>
      </c>
    </row>
    <row r="14" spans="1:7" x14ac:dyDescent="0.2">
      <c r="B14" s="2"/>
    </row>
    <row r="15" spans="1:7" ht="15" x14ac:dyDescent="0.25">
      <c r="B15" s="378" t="s">
        <v>6</v>
      </c>
    </row>
    <row r="16" spans="1:7" x14ac:dyDescent="0.2">
      <c r="A16" s="3">
        <v>1</v>
      </c>
      <c r="B16" s="11" t="s">
        <v>65</v>
      </c>
    </row>
    <row r="17" spans="1:8" x14ac:dyDescent="0.2">
      <c r="A17" s="3">
        <v>2</v>
      </c>
      <c r="B17" s="11" t="s">
        <v>7</v>
      </c>
    </row>
    <row r="18" spans="1:8" x14ac:dyDescent="0.2">
      <c r="A18" s="3">
        <v>3</v>
      </c>
      <c r="B18" s="11" t="s">
        <v>8</v>
      </c>
    </row>
    <row r="19" spans="1:8" x14ac:dyDescent="0.2">
      <c r="A19" s="3">
        <v>4</v>
      </c>
      <c r="B19" s="11" t="s">
        <v>9</v>
      </c>
      <c r="H19" s="12"/>
    </row>
    <row r="20" spans="1:8" x14ac:dyDescent="0.2">
      <c r="A20" s="3">
        <v>5</v>
      </c>
      <c r="B20" s="11" t="s">
        <v>10</v>
      </c>
    </row>
    <row r="21" spans="1:8" x14ac:dyDescent="0.2">
      <c r="A21" s="3">
        <v>6</v>
      </c>
      <c r="B21" s="11" t="s">
        <v>11</v>
      </c>
    </row>
    <row r="22" spans="1:8" x14ac:dyDescent="0.2">
      <c r="A22" s="3">
        <v>7</v>
      </c>
      <c r="B22" s="11" t="s">
        <v>12</v>
      </c>
    </row>
    <row r="23" spans="1:8" x14ac:dyDescent="0.2">
      <c r="A23" s="3">
        <v>8</v>
      </c>
      <c r="B23" s="11" t="s">
        <v>13</v>
      </c>
    </row>
    <row r="24" spans="1:8" x14ac:dyDescent="0.2">
      <c r="A24" s="3">
        <v>9</v>
      </c>
      <c r="B24" s="11" t="s">
        <v>14</v>
      </c>
    </row>
    <row r="25" spans="1:8" x14ac:dyDescent="0.2">
      <c r="A25" s="3">
        <v>10</v>
      </c>
      <c r="B25" s="11" t="s">
        <v>15</v>
      </c>
      <c r="H25" s="12"/>
    </row>
    <row r="26" spans="1:8" x14ac:dyDescent="0.2">
      <c r="A26" s="3">
        <v>11</v>
      </c>
      <c r="B26" s="11" t="s">
        <v>16</v>
      </c>
      <c r="H26" s="12"/>
    </row>
    <row r="27" spans="1:8" x14ac:dyDescent="0.2">
      <c r="A27" s="3">
        <v>12</v>
      </c>
      <c r="B27" s="11" t="s">
        <v>17</v>
      </c>
      <c r="H27" s="12"/>
    </row>
    <row r="28" spans="1:8" x14ac:dyDescent="0.2">
      <c r="A28" s="3">
        <v>13</v>
      </c>
      <c r="B28" s="11" t="s">
        <v>18</v>
      </c>
    </row>
    <row r="29" spans="1:8" x14ac:dyDescent="0.2">
      <c r="A29" s="3">
        <v>14</v>
      </c>
      <c r="B29" s="11" t="s">
        <v>19</v>
      </c>
    </row>
    <row r="30" spans="1:8" x14ac:dyDescent="0.2">
      <c r="A30" s="3">
        <v>15</v>
      </c>
      <c r="B30" s="11" t="s">
        <v>429</v>
      </c>
    </row>
    <row r="31" spans="1:8" x14ac:dyDescent="0.2">
      <c r="A31" s="3">
        <v>16</v>
      </c>
      <c r="B31" s="11" t="s">
        <v>430</v>
      </c>
    </row>
    <row r="32" spans="1:8" x14ac:dyDescent="0.2">
      <c r="A32" s="3">
        <v>17</v>
      </c>
      <c r="B32" s="11" t="s">
        <v>665</v>
      </c>
    </row>
    <row r="33" spans="2:2" x14ac:dyDescent="0.2">
      <c r="B33" s="2"/>
    </row>
    <row r="34" spans="2:2" x14ac:dyDescent="0.2">
      <c r="B34" s="2"/>
    </row>
    <row r="35" spans="2:2" x14ac:dyDescent="0.2">
      <c r="B35" s="2" t="s">
        <v>20</v>
      </c>
    </row>
    <row r="36" spans="2:2" ht="15" customHeight="1" x14ac:dyDescent="0.2">
      <c r="B36" s="340" t="s">
        <v>423</v>
      </c>
    </row>
    <row r="37" spans="2:2" ht="15" customHeight="1" x14ac:dyDescent="0.2">
      <c r="B37" s="340"/>
    </row>
  </sheetData>
  <customSheetViews>
    <customSheetView guid="{0879B2E0-1447-4BF4-B278-DFA3BD4BF3E7}" fitToPage="1">
      <selection activeCell="B19" sqref="B19"/>
      <pageMargins left="0.7" right="0.7" top="0.75" bottom="0.75" header="0.3" footer="0.3"/>
      <pageSetup paperSize="9" scale="95" orientation="landscape" r:id="rId1"/>
    </customSheetView>
    <customSheetView guid="{B24A12A4-9623-4099-956E-0B4C7C8D3F73}" scale="85" fitToPage="1">
      <selection activeCell="D13" sqref="D13"/>
      <pageMargins left="0.7" right="0.7" top="0.75" bottom="0.75" header="0.3" footer="0.3"/>
      <pageSetup paperSize="9" scale="95" orientation="landscape" r:id="rId2"/>
    </customSheetView>
    <customSheetView guid="{93BA635E-1664-4099-8295-6B100E16362A}" scale="85" fitToPage="1" topLeftCell="A7">
      <selection activeCell="C41" sqref="C41"/>
      <pageMargins left="0.7" right="0.7" top="0.75" bottom="0.75" header="0.3" footer="0.3"/>
      <pageSetup paperSize="9" scale="95" orientation="landscape" r:id="rId3"/>
    </customSheetView>
  </customSheetViews>
  <hyperlinks>
    <hyperlink ref="B16" location="'FINANCIAL HIGHLIGHTS'!Область_печати" display="FINANCIAL HIGHLIGHTS"/>
    <hyperlink ref="B17" location="'SELECTED FINANCIAL RATIOS'!Область_печати" display="SELECTED FINANCIAL RATIOS"/>
    <hyperlink ref="B18" location="'INCOME STATEMENT'!Область_печати" display="INCOME STATEMENT"/>
    <hyperlink ref="B19" location="'REVENUE BREAKDOWN'!Область_печати" display="REVENUE BREAKDOWN"/>
    <hyperlink ref="B20" location="'EBITDA CALCULATION'!Область_печати" display="EBITDA CALCULATION"/>
    <hyperlink ref="B21" location="'COST BREAKDOWN'!Область_печати" display="COST BREAKDOWN"/>
    <hyperlink ref="B22" location="'COST BREAKDOWN BY REGION'!Область_печати" display="COST BREAKDOWN BY REGION"/>
    <hyperlink ref="B23" location="'BALANCE '!Область_печати" display="BALANCE SHEET"/>
    <hyperlink ref="B24" location="'CASH FLOW STATEMENT'!Область_печати" display="CASH FLOW STATEMENT"/>
    <hyperlink ref="B25" location="'WORKING CAPITAL'!Область_печати" display="WORKING CAPITAL"/>
    <hyperlink ref="B26" location="'CAPEX BREAKDOWN'!Область_печати" display="CAPEX BREAKDOWN"/>
    <hyperlink ref="B27" location="'DEBT AND LIQUIDITY '!Область_печати" display="DEBT AND LIQUIDITY"/>
    <hyperlink ref="B28" location="'METAL SALES&amp;PRICES'!Область_печати" display="METAL SALES&amp;PRICES"/>
    <hyperlink ref="B29" location="'PRODUCTION DATA'!Область_печати" display="PRODUCTION DATA"/>
    <hyperlink ref="B30" location="'ORE OUTRUT'!Область_печати" display="ORE OUTRUT"/>
    <hyperlink ref="B31" location="'RECOVERY RATES'!A1" display="RECOVERY RATES"/>
    <hyperlink ref="B15" r:id="rId4"/>
    <hyperlink ref="B32" location="'MINERALS RESERVES AND RESOURCES'!Область_печати" display=" MINERAL RESERVES AND RESOURCES"/>
  </hyperlinks>
  <pageMargins left="0.7" right="0.7" top="0.75" bottom="0.75" header="0.3" footer="0.3"/>
  <pageSetup paperSize="9" scale="99" orientation="landscape" r:id="rId5"/>
  <customProperties>
    <customPr name="_pios_id" r:id="rId6"/>
    <customPr name="CofWorksheetType" r:id="rId7"/>
    <customPr name="EpmWorksheetKeyString_GUID" r:id="rId8"/>
  </customProperties>
  <drawing r:id="rId9"/>
  <legacyDrawing r:id="rId10"/>
  <controls>
    <mc:AlternateContent xmlns:mc="http://schemas.openxmlformats.org/markup-compatibility/2006">
      <mc:Choice Requires="x14">
        <control shapeId="1025" r:id="rId11" name="FPMExcelClientSheetOptionstb1">
          <controlPr defaultSize="0" autoLine="0" r:id="rId12">
            <anchor moveWithCells="1" sizeWithCells="1">
              <from>
                <xdr:col>0</xdr:col>
                <xdr:colOff>0</xdr:colOff>
                <xdr:row>0</xdr:row>
                <xdr:rowOff>0</xdr:rowOff>
              </from>
              <to>
                <xdr:col>0</xdr:col>
                <xdr:colOff>0</xdr:colOff>
                <xdr:row>0</xdr:row>
                <xdr:rowOff>0</xdr:rowOff>
              </to>
            </anchor>
          </controlPr>
        </control>
      </mc:Choice>
      <mc:Fallback>
        <control shapeId="1025" r:id="rId11"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rgb="FF236CB0"/>
    <pageSetUpPr fitToPage="1"/>
  </sheetPr>
  <dimension ref="A1:AP87"/>
  <sheetViews>
    <sheetView view="pageBreakPreview" zoomScaleNormal="85" zoomScaleSheetLayoutView="100" workbookViewId="0">
      <selection sqref="A1:AM86"/>
    </sheetView>
  </sheetViews>
  <sheetFormatPr defaultColWidth="8.85546875" defaultRowHeight="12.75" outlineLevelRow="1" outlineLevelCol="1" x14ac:dyDescent="0.2"/>
  <cols>
    <col min="1" max="1" width="60.7109375" style="22" customWidth="1"/>
    <col min="2" max="19" width="7.7109375" style="228" customWidth="1"/>
    <col min="20" max="20" width="8.140625" style="228" bestFit="1" customWidth="1"/>
    <col min="21" max="21" width="8.140625" style="228" customWidth="1"/>
    <col min="22" max="32" width="8.7109375" style="335" hidden="1" customWidth="1" outlineLevel="1"/>
    <col min="33" max="33" width="8.7109375" style="22" hidden="1" customWidth="1" outlineLevel="1"/>
    <col min="34" max="39" width="8.7109375" style="335" hidden="1" customWidth="1" outlineLevel="1"/>
    <col min="40" max="40" width="10.7109375" style="22" bestFit="1" customWidth="1" collapsed="1"/>
    <col min="41" max="16384" width="8.85546875" style="22"/>
  </cols>
  <sheetData>
    <row r="1" spans="1:40" s="20" customFormat="1" ht="30" customHeight="1" thickBot="1" x14ac:dyDescent="0.3">
      <c r="A1" s="406" t="s">
        <v>634</v>
      </c>
      <c r="B1" s="411"/>
      <c r="C1" s="411"/>
      <c r="D1" s="411"/>
      <c r="E1" s="411"/>
      <c r="F1" s="411"/>
      <c r="G1" s="411"/>
      <c r="H1" s="411"/>
      <c r="I1" s="411"/>
      <c r="J1" s="411"/>
      <c r="K1" s="411"/>
      <c r="L1" s="411"/>
      <c r="M1" s="411"/>
      <c r="N1" s="411"/>
      <c r="O1" s="411"/>
      <c r="P1" s="411"/>
      <c r="Q1" s="411"/>
      <c r="R1" s="411"/>
      <c r="S1" s="435"/>
      <c r="T1" s="435"/>
      <c r="U1" s="412"/>
      <c r="V1" s="336"/>
      <c r="W1" s="336"/>
      <c r="X1" s="336"/>
      <c r="Y1" s="336"/>
      <c r="Z1" s="336"/>
      <c r="AA1" s="336"/>
      <c r="AB1" s="336"/>
      <c r="AC1" s="336"/>
      <c r="AD1" s="336"/>
      <c r="AE1" s="336"/>
      <c r="AF1" s="336"/>
      <c r="AG1" s="336"/>
      <c r="AH1" s="336"/>
      <c r="AI1" s="336"/>
      <c r="AJ1" s="347"/>
      <c r="AK1" s="347"/>
      <c r="AL1" s="347"/>
      <c r="AM1" s="347"/>
    </row>
    <row r="2" spans="1:40" s="20" customFormat="1" ht="30" customHeight="1" thickBot="1" x14ac:dyDescent="0.3">
      <c r="A2" s="408" t="s">
        <v>177</v>
      </c>
      <c r="B2" s="23">
        <v>2009</v>
      </c>
      <c r="C2" s="23" t="s">
        <v>208</v>
      </c>
      <c r="D2" s="23">
        <v>2010</v>
      </c>
      <c r="E2" s="23" t="s">
        <v>209</v>
      </c>
      <c r="F2" s="23">
        <v>2011</v>
      </c>
      <c r="G2" s="23" t="s">
        <v>210</v>
      </c>
      <c r="H2" s="23">
        <v>2012</v>
      </c>
      <c r="I2" s="23" t="s">
        <v>211</v>
      </c>
      <c r="J2" s="23">
        <v>2013</v>
      </c>
      <c r="K2" s="23" t="s">
        <v>212</v>
      </c>
      <c r="L2" s="23">
        <v>2014</v>
      </c>
      <c r="M2" s="23" t="s">
        <v>213</v>
      </c>
      <c r="N2" s="23">
        <v>2015</v>
      </c>
      <c r="O2" s="23" t="s">
        <v>343</v>
      </c>
      <c r="P2" s="23">
        <v>2016</v>
      </c>
      <c r="Q2" s="23" t="s">
        <v>405</v>
      </c>
      <c r="R2" s="23">
        <v>2017</v>
      </c>
      <c r="S2" s="23" t="s">
        <v>431</v>
      </c>
      <c r="T2" s="23">
        <v>2018</v>
      </c>
      <c r="U2" s="23" t="s">
        <v>577</v>
      </c>
      <c r="V2" s="23" t="s">
        <v>272</v>
      </c>
      <c r="W2" s="23" t="s">
        <v>335</v>
      </c>
      <c r="X2" s="23" t="s">
        <v>334</v>
      </c>
      <c r="Y2" s="23" t="s">
        <v>333</v>
      </c>
      <c r="Z2" s="23" t="s">
        <v>214</v>
      </c>
      <c r="AA2" s="23" t="s">
        <v>245</v>
      </c>
      <c r="AB2" s="23" t="s">
        <v>332</v>
      </c>
      <c r="AC2" s="23" t="s">
        <v>226</v>
      </c>
      <c r="AD2" s="23" t="s">
        <v>288</v>
      </c>
      <c r="AE2" s="23" t="s">
        <v>228</v>
      </c>
      <c r="AF2" s="23" t="s">
        <v>336</v>
      </c>
      <c r="AG2" s="23" t="s">
        <v>342</v>
      </c>
      <c r="AH2" s="23" t="s">
        <v>368</v>
      </c>
      <c r="AI2" s="23" t="s">
        <v>409</v>
      </c>
      <c r="AJ2" s="346" t="s">
        <v>419</v>
      </c>
      <c r="AK2" s="23" t="s">
        <v>435</v>
      </c>
      <c r="AL2" s="23" t="s">
        <v>490</v>
      </c>
      <c r="AM2" s="23" t="s">
        <v>588</v>
      </c>
      <c r="AN2" s="107" t="s">
        <v>215</v>
      </c>
    </row>
    <row r="3" spans="1:40" ht="15" customHeight="1" x14ac:dyDescent="0.25">
      <c r="A3" s="319" t="s">
        <v>331</v>
      </c>
      <c r="B3" s="221"/>
      <c r="C3" s="221"/>
      <c r="D3" s="202"/>
      <c r="E3" s="202"/>
      <c r="F3" s="202"/>
      <c r="G3" s="202"/>
      <c r="H3" s="202"/>
      <c r="I3" s="202"/>
      <c r="J3" s="202"/>
      <c r="K3" s="203"/>
      <c r="L3" s="203"/>
      <c r="M3" s="203"/>
      <c r="N3" s="203"/>
      <c r="O3" s="203"/>
      <c r="P3" s="203"/>
      <c r="Q3" s="203"/>
      <c r="R3" s="203"/>
      <c r="S3" s="203"/>
      <c r="T3" s="203"/>
      <c r="U3" s="203"/>
      <c r="V3" s="326"/>
      <c r="W3" s="326"/>
      <c r="X3" s="326"/>
      <c r="Y3" s="326"/>
      <c r="Z3" s="326"/>
      <c r="AA3" s="326"/>
      <c r="AB3" s="326"/>
      <c r="AC3" s="326"/>
      <c r="AD3" s="326"/>
      <c r="AE3" s="326"/>
      <c r="AF3" s="326"/>
      <c r="AH3" s="326"/>
      <c r="AI3" s="326"/>
      <c r="AJ3" s="326"/>
      <c r="AK3" s="326"/>
      <c r="AL3" s="326"/>
      <c r="AM3" s="563"/>
    </row>
    <row r="4" spans="1:40" ht="15" customHeight="1" x14ac:dyDescent="0.2">
      <c r="A4" s="319" t="s">
        <v>40</v>
      </c>
      <c r="B4" s="126">
        <v>3487</v>
      </c>
      <c r="C4" s="126">
        <v>2948</v>
      </c>
      <c r="D4" s="126">
        <v>4631</v>
      </c>
      <c r="E4" s="126">
        <v>2648</v>
      </c>
      <c r="F4" s="126">
        <v>5165</v>
      </c>
      <c r="G4" s="125">
        <v>2035</v>
      </c>
      <c r="H4" s="125">
        <v>3143</v>
      </c>
      <c r="I4" s="125">
        <v>889</v>
      </c>
      <c r="J4" s="125">
        <v>1330</v>
      </c>
      <c r="K4" s="125">
        <v>1879</v>
      </c>
      <c r="L4" s="125">
        <v>2660</v>
      </c>
      <c r="M4" s="125">
        <v>1979</v>
      </c>
      <c r="N4" s="125">
        <v>2244</v>
      </c>
      <c r="O4" s="125">
        <v>1674</v>
      </c>
      <c r="P4" s="125">
        <v>3276</v>
      </c>
      <c r="Q4" s="126">
        <v>1218</v>
      </c>
      <c r="R4" s="126">
        <v>2844</v>
      </c>
      <c r="S4" s="126">
        <v>2056</v>
      </c>
      <c r="T4" s="126">
        <v>3902</v>
      </c>
      <c r="U4" s="126">
        <v>3773</v>
      </c>
      <c r="V4" s="327">
        <v>0.32807570977917977</v>
      </c>
      <c r="W4" s="327">
        <v>-0.10176390773405697</v>
      </c>
      <c r="X4" s="327">
        <v>0.11530986827898948</v>
      </c>
      <c r="Y4" s="327">
        <v>-0.23149546827794565</v>
      </c>
      <c r="Z4" s="327">
        <v>-0.39148112294288484</v>
      </c>
      <c r="AA4" s="327">
        <v>-0.56314496314496321</v>
      </c>
      <c r="AB4" s="327">
        <v>-0.57683741648106901</v>
      </c>
      <c r="AC4" s="327">
        <v>1.1136107986501687</v>
      </c>
      <c r="AD4" s="327">
        <v>1</v>
      </c>
      <c r="AE4" s="327">
        <v>5.3219797764768595E-2</v>
      </c>
      <c r="AF4" s="215">
        <v>-0.15639097744360897</v>
      </c>
      <c r="AG4" s="215">
        <v>-0.15411824153612941</v>
      </c>
      <c r="AH4" s="327">
        <v>0.45989304812834231</v>
      </c>
      <c r="AI4" s="327">
        <v>-0.27240143369175629</v>
      </c>
      <c r="AJ4" s="327">
        <v>-0.13186813186813184</v>
      </c>
      <c r="AK4" s="119">
        <v>0.68801313628899796</v>
      </c>
      <c r="AL4" s="29">
        <v>0.37201125175808714</v>
      </c>
      <c r="AM4" s="29">
        <v>0.83511673151750965</v>
      </c>
      <c r="AN4" s="43"/>
    </row>
    <row r="5" spans="1:40" ht="15" customHeight="1" outlineLevel="1" x14ac:dyDescent="0.2">
      <c r="A5" s="118" t="s">
        <v>330</v>
      </c>
      <c r="B5" s="203"/>
      <c r="C5" s="203"/>
      <c r="D5" s="308"/>
      <c r="E5" s="308"/>
      <c r="F5" s="308"/>
      <c r="G5" s="308"/>
      <c r="H5" s="308"/>
      <c r="I5" s="308"/>
      <c r="J5" s="308"/>
      <c r="K5" s="27"/>
      <c r="L5" s="27"/>
      <c r="M5" s="27"/>
      <c r="N5" s="27"/>
      <c r="O5" s="27"/>
      <c r="P5" s="27"/>
      <c r="Q5" s="308"/>
      <c r="R5" s="308"/>
      <c r="S5" s="308"/>
      <c r="T5" s="308"/>
      <c r="U5" s="308"/>
      <c r="V5" s="327"/>
      <c r="W5" s="327"/>
      <c r="X5" s="327"/>
      <c r="Y5" s="327"/>
      <c r="Z5" s="327"/>
      <c r="AA5" s="327"/>
      <c r="AB5" s="327"/>
      <c r="AC5" s="327"/>
      <c r="AD5" s="327"/>
      <c r="AE5" s="327"/>
      <c r="AF5" s="22"/>
      <c r="AH5" s="327"/>
      <c r="AI5" s="327"/>
      <c r="AJ5" s="327"/>
      <c r="AK5" s="327"/>
      <c r="AL5" s="327"/>
      <c r="AM5" s="327"/>
    </row>
    <row r="6" spans="1:40" ht="15" customHeight="1" outlineLevel="1" x14ac:dyDescent="0.2">
      <c r="A6" s="134" t="s">
        <v>58</v>
      </c>
      <c r="B6" s="308">
        <v>817</v>
      </c>
      <c r="C6" s="308">
        <v>419</v>
      </c>
      <c r="D6" s="308">
        <v>803</v>
      </c>
      <c r="E6" s="308">
        <v>359</v>
      </c>
      <c r="F6" s="308">
        <v>762</v>
      </c>
      <c r="G6" s="308">
        <v>369</v>
      </c>
      <c r="H6" s="308">
        <v>789</v>
      </c>
      <c r="I6" s="308">
        <v>442</v>
      </c>
      <c r="J6" s="308">
        <v>881</v>
      </c>
      <c r="K6" s="27">
        <v>445</v>
      </c>
      <c r="L6" s="27">
        <v>805</v>
      </c>
      <c r="M6" s="27">
        <v>280</v>
      </c>
      <c r="N6" s="27">
        <v>506</v>
      </c>
      <c r="O6" s="27">
        <v>256</v>
      </c>
      <c r="P6" s="27">
        <v>557</v>
      </c>
      <c r="Q6" s="308">
        <v>307</v>
      </c>
      <c r="R6" s="308">
        <v>645</v>
      </c>
      <c r="S6" s="308">
        <v>350</v>
      </c>
      <c r="T6" s="308">
        <v>765</v>
      </c>
      <c r="U6" s="308">
        <v>443</v>
      </c>
      <c r="V6" s="327"/>
      <c r="W6" s="327"/>
      <c r="X6" s="327"/>
      <c r="Y6" s="327"/>
      <c r="Z6" s="327"/>
      <c r="AA6" s="327"/>
      <c r="AB6" s="327"/>
      <c r="AC6" s="327"/>
      <c r="AD6" s="327"/>
      <c r="AE6" s="327"/>
      <c r="AF6" s="22"/>
      <c r="AH6" s="327"/>
      <c r="AI6" s="327"/>
      <c r="AJ6" s="327"/>
      <c r="AK6" s="327"/>
      <c r="AL6" s="327"/>
      <c r="AM6" s="327"/>
      <c r="AN6" s="328"/>
    </row>
    <row r="7" spans="1:40" ht="15" customHeight="1" outlineLevel="1" x14ac:dyDescent="0.2">
      <c r="A7" s="324" t="s">
        <v>59</v>
      </c>
      <c r="B7" s="308">
        <v>-175</v>
      </c>
      <c r="C7" s="308">
        <v>0</v>
      </c>
      <c r="D7" s="308">
        <v>8</v>
      </c>
      <c r="E7" s="308">
        <v>-3</v>
      </c>
      <c r="F7" s="308">
        <v>118</v>
      </c>
      <c r="G7" s="308">
        <v>16</v>
      </c>
      <c r="H7" s="308">
        <v>279</v>
      </c>
      <c r="I7" s="308">
        <v>65</v>
      </c>
      <c r="J7" s="308">
        <v>841</v>
      </c>
      <c r="K7" s="27">
        <v>22</v>
      </c>
      <c r="L7" s="27">
        <v>130</v>
      </c>
      <c r="M7" s="27">
        <v>2</v>
      </c>
      <c r="N7" s="27">
        <v>284</v>
      </c>
      <c r="O7" s="27">
        <v>3</v>
      </c>
      <c r="P7" s="27">
        <v>61</v>
      </c>
      <c r="Q7" s="308">
        <v>25</v>
      </c>
      <c r="R7" s="308">
        <v>227</v>
      </c>
      <c r="S7" s="308">
        <v>6</v>
      </c>
      <c r="T7" s="308">
        <v>50</v>
      </c>
      <c r="U7" s="308">
        <v>5</v>
      </c>
      <c r="V7" s="327"/>
      <c r="W7" s="327"/>
      <c r="X7" s="327"/>
      <c r="Y7" s="327"/>
      <c r="Z7" s="327"/>
      <c r="AA7" s="327"/>
      <c r="AB7" s="327"/>
      <c r="AC7" s="327"/>
      <c r="AD7" s="327"/>
      <c r="AE7" s="327"/>
      <c r="AF7" s="22"/>
      <c r="AH7" s="327"/>
      <c r="AI7" s="327"/>
      <c r="AJ7" s="327"/>
      <c r="AK7" s="327"/>
      <c r="AL7" s="327"/>
      <c r="AM7" s="327"/>
    </row>
    <row r="8" spans="1:40" ht="15" customHeight="1" outlineLevel="1" x14ac:dyDescent="0.2">
      <c r="A8" s="134" t="s">
        <v>329</v>
      </c>
      <c r="B8" s="308">
        <v>38</v>
      </c>
      <c r="C8" s="308">
        <v>0</v>
      </c>
      <c r="D8" s="308">
        <v>425</v>
      </c>
      <c r="E8" s="308">
        <v>0</v>
      </c>
      <c r="F8" s="308">
        <v>0</v>
      </c>
      <c r="G8" s="308">
        <v>0</v>
      </c>
      <c r="H8" s="308">
        <v>102</v>
      </c>
      <c r="I8" s="308">
        <v>0</v>
      </c>
      <c r="J8" s="308">
        <v>0</v>
      </c>
      <c r="K8" s="27">
        <v>0</v>
      </c>
      <c r="L8" s="27">
        <v>0</v>
      </c>
      <c r="M8" s="27">
        <v>0</v>
      </c>
      <c r="N8" s="27"/>
      <c r="O8" s="27"/>
      <c r="P8" s="27"/>
      <c r="Q8" s="308"/>
      <c r="R8" s="308"/>
      <c r="S8" s="308"/>
      <c r="T8" s="308"/>
      <c r="U8" s="308"/>
      <c r="V8" s="327"/>
      <c r="W8" s="327"/>
      <c r="X8" s="327"/>
      <c r="Y8" s="327"/>
      <c r="Z8" s="327"/>
      <c r="AA8" s="327"/>
      <c r="AB8" s="327"/>
      <c r="AC8" s="327"/>
      <c r="AD8" s="327"/>
      <c r="AE8" s="327"/>
      <c r="AF8" s="22"/>
      <c r="AH8" s="327"/>
      <c r="AI8" s="327"/>
      <c r="AJ8" s="327"/>
      <c r="AK8" s="327"/>
      <c r="AL8" s="327"/>
      <c r="AM8" s="327"/>
    </row>
    <row r="9" spans="1:40" ht="15" customHeight="1" outlineLevel="1" x14ac:dyDescent="0.2">
      <c r="A9" s="134" t="s">
        <v>328</v>
      </c>
      <c r="B9" s="308">
        <v>0</v>
      </c>
      <c r="C9" s="308">
        <v>0</v>
      </c>
      <c r="D9" s="308">
        <v>0</v>
      </c>
      <c r="E9" s="308">
        <v>0</v>
      </c>
      <c r="F9" s="308">
        <v>125</v>
      </c>
      <c r="G9" s="308">
        <v>0</v>
      </c>
      <c r="H9" s="308">
        <v>0</v>
      </c>
      <c r="I9" s="308">
        <v>0</v>
      </c>
      <c r="J9" s="308">
        <v>11</v>
      </c>
      <c r="K9" s="27">
        <v>0</v>
      </c>
      <c r="L9" s="27">
        <v>0</v>
      </c>
      <c r="M9" s="27">
        <v>0</v>
      </c>
      <c r="N9" s="27"/>
      <c r="O9" s="27"/>
      <c r="P9" s="27"/>
      <c r="Q9" s="308"/>
      <c r="R9" s="308"/>
      <c r="S9" s="308"/>
      <c r="T9" s="308"/>
      <c r="U9" s="308"/>
      <c r="V9" s="327"/>
      <c r="W9" s="327"/>
      <c r="X9" s="327"/>
      <c r="Y9" s="327"/>
      <c r="Z9" s="327"/>
      <c r="AA9" s="327"/>
      <c r="AB9" s="327"/>
      <c r="AC9" s="327"/>
      <c r="AD9" s="327"/>
      <c r="AE9" s="327"/>
      <c r="AF9" s="22"/>
      <c r="AH9" s="327"/>
      <c r="AI9" s="327"/>
      <c r="AJ9" s="327"/>
      <c r="AK9" s="327"/>
      <c r="AL9" s="327"/>
      <c r="AM9" s="327"/>
    </row>
    <row r="10" spans="1:40" outlineLevel="1" x14ac:dyDescent="0.2">
      <c r="A10" s="134" t="s">
        <v>327</v>
      </c>
      <c r="B10" s="308">
        <v>0</v>
      </c>
      <c r="C10" s="308">
        <v>0</v>
      </c>
      <c r="D10" s="308">
        <v>0</v>
      </c>
      <c r="E10" s="308">
        <v>0</v>
      </c>
      <c r="F10" s="308">
        <v>152</v>
      </c>
      <c r="G10" s="308">
        <v>0</v>
      </c>
      <c r="H10" s="308">
        <v>595</v>
      </c>
      <c r="I10" s="308">
        <v>0</v>
      </c>
      <c r="J10" s="308">
        <v>729</v>
      </c>
      <c r="K10" s="27">
        <v>0</v>
      </c>
      <c r="L10" s="27">
        <v>244</v>
      </c>
      <c r="M10" s="27">
        <v>0</v>
      </c>
      <c r="N10" s="27">
        <v>0</v>
      </c>
      <c r="O10" s="27">
        <v>0</v>
      </c>
      <c r="P10" s="27">
        <v>153</v>
      </c>
      <c r="Q10" s="308">
        <v>0</v>
      </c>
      <c r="R10" s="308">
        <v>0</v>
      </c>
      <c r="S10" s="308">
        <v>0</v>
      </c>
      <c r="T10" s="308">
        <v>0</v>
      </c>
      <c r="U10" s="308">
        <v>0</v>
      </c>
      <c r="V10" s="327"/>
      <c r="W10" s="327"/>
      <c r="X10" s="327"/>
      <c r="Y10" s="327"/>
      <c r="Z10" s="327"/>
      <c r="AA10" s="327"/>
      <c r="AB10" s="327"/>
      <c r="AC10" s="327"/>
      <c r="AD10" s="327"/>
      <c r="AE10" s="327"/>
      <c r="AF10" s="22"/>
      <c r="AH10" s="327"/>
      <c r="AI10" s="327"/>
      <c r="AJ10" s="327"/>
      <c r="AK10" s="327"/>
      <c r="AL10" s="327"/>
      <c r="AM10" s="327"/>
    </row>
    <row r="11" spans="1:40" ht="25.5" outlineLevel="1" x14ac:dyDescent="0.2">
      <c r="A11" s="134" t="s">
        <v>474</v>
      </c>
      <c r="B11" s="308">
        <v>0</v>
      </c>
      <c r="C11" s="308">
        <v>0</v>
      </c>
      <c r="D11" s="308"/>
      <c r="E11" s="308">
        <v>0</v>
      </c>
      <c r="F11" s="308"/>
      <c r="G11" s="308">
        <v>0</v>
      </c>
      <c r="H11" s="308"/>
      <c r="I11" s="308">
        <v>571</v>
      </c>
      <c r="J11" s="308">
        <v>0</v>
      </c>
      <c r="K11" s="27">
        <v>49</v>
      </c>
      <c r="L11" s="27">
        <v>0</v>
      </c>
      <c r="M11" s="27">
        <v>0</v>
      </c>
      <c r="N11" s="27"/>
      <c r="O11" s="27"/>
      <c r="P11" s="27"/>
      <c r="Q11" s="308"/>
      <c r="R11" s="308"/>
      <c r="S11" s="308"/>
      <c r="T11" s="308"/>
      <c r="U11" s="308"/>
      <c r="V11" s="327"/>
      <c r="W11" s="327"/>
      <c r="X11" s="327"/>
      <c r="Y11" s="327"/>
      <c r="Z11" s="327"/>
      <c r="AA11" s="327"/>
      <c r="AB11" s="327"/>
      <c r="AC11" s="327"/>
      <c r="AD11" s="327"/>
      <c r="AE11" s="327"/>
      <c r="AF11" s="22"/>
      <c r="AH11" s="327"/>
      <c r="AI11" s="327"/>
      <c r="AJ11" s="327"/>
      <c r="AK11" s="327"/>
      <c r="AL11" s="327"/>
      <c r="AM11" s="327"/>
    </row>
    <row r="12" spans="1:40" outlineLevel="1" x14ac:dyDescent="0.2">
      <c r="A12" s="134" t="s">
        <v>350</v>
      </c>
      <c r="B12" s="308">
        <v>9</v>
      </c>
      <c r="C12" s="308">
        <v>0</v>
      </c>
      <c r="D12" s="308">
        <v>12</v>
      </c>
      <c r="E12" s="308">
        <v>0</v>
      </c>
      <c r="F12" s="308">
        <v>19</v>
      </c>
      <c r="G12" s="308">
        <v>0</v>
      </c>
      <c r="H12" s="308">
        <v>37</v>
      </c>
      <c r="I12" s="308">
        <v>0</v>
      </c>
      <c r="J12" s="308">
        <v>18</v>
      </c>
      <c r="K12" s="27">
        <v>0</v>
      </c>
      <c r="L12" s="27">
        <v>28</v>
      </c>
      <c r="M12" s="27">
        <v>11</v>
      </c>
      <c r="N12" s="27">
        <v>20</v>
      </c>
      <c r="O12" s="27">
        <v>0</v>
      </c>
      <c r="P12" s="27">
        <v>16</v>
      </c>
      <c r="Q12" s="308">
        <v>0</v>
      </c>
      <c r="R12" s="308">
        <v>9</v>
      </c>
      <c r="S12" s="308">
        <v>0</v>
      </c>
      <c r="T12" s="308">
        <v>1</v>
      </c>
      <c r="U12" s="308">
        <v>5</v>
      </c>
      <c r="V12" s="327"/>
      <c r="W12" s="327"/>
      <c r="X12" s="327"/>
      <c r="Y12" s="327"/>
      <c r="Z12" s="327"/>
      <c r="AA12" s="327"/>
      <c r="AB12" s="327"/>
      <c r="AC12" s="327"/>
      <c r="AD12" s="327"/>
      <c r="AE12" s="327"/>
      <c r="AF12" s="22"/>
      <c r="AH12" s="327"/>
      <c r="AI12" s="327"/>
      <c r="AJ12" s="327"/>
      <c r="AK12" s="327"/>
      <c r="AL12" s="327"/>
      <c r="AM12" s="327"/>
    </row>
    <row r="13" spans="1:40" ht="15" customHeight="1" outlineLevel="1" x14ac:dyDescent="0.2">
      <c r="A13" s="134" t="s">
        <v>326</v>
      </c>
      <c r="B13" s="308">
        <v>18</v>
      </c>
      <c r="C13" s="308">
        <v>0</v>
      </c>
      <c r="D13" s="308">
        <v>2299</v>
      </c>
      <c r="E13" s="308">
        <v>566</v>
      </c>
      <c r="F13" s="308">
        <v>566</v>
      </c>
      <c r="G13" s="308">
        <v>0</v>
      </c>
      <c r="H13" s="308">
        <v>0</v>
      </c>
      <c r="I13" s="308">
        <v>0</v>
      </c>
      <c r="J13" s="308">
        <v>0</v>
      </c>
      <c r="K13" s="27">
        <v>0</v>
      </c>
      <c r="L13" s="27"/>
      <c r="M13" s="27">
        <v>0</v>
      </c>
      <c r="N13" s="27"/>
      <c r="O13" s="27"/>
      <c r="P13" s="27"/>
      <c r="Q13" s="308"/>
      <c r="R13" s="308"/>
      <c r="S13" s="308"/>
      <c r="T13" s="308"/>
      <c r="U13" s="308"/>
      <c r="V13" s="327"/>
      <c r="W13" s="327"/>
      <c r="X13" s="327"/>
      <c r="Y13" s="327"/>
      <c r="Z13" s="327"/>
      <c r="AA13" s="327"/>
      <c r="AB13" s="327"/>
      <c r="AC13" s="327"/>
      <c r="AD13" s="327"/>
      <c r="AE13" s="327"/>
      <c r="AF13" s="22"/>
      <c r="AH13" s="327"/>
      <c r="AI13" s="327"/>
      <c r="AJ13" s="327"/>
      <c r="AK13" s="327"/>
      <c r="AL13" s="327"/>
      <c r="AM13" s="327"/>
    </row>
    <row r="14" spans="1:40" ht="15" customHeight="1" outlineLevel="1" x14ac:dyDescent="0.2">
      <c r="A14" s="134" t="s">
        <v>351</v>
      </c>
      <c r="B14" s="308">
        <v>0</v>
      </c>
      <c r="C14" s="308">
        <v>-19</v>
      </c>
      <c r="D14" s="308">
        <v>0</v>
      </c>
      <c r="E14" s="308">
        <v>3</v>
      </c>
      <c r="F14" s="308">
        <v>33</v>
      </c>
      <c r="G14" s="308">
        <v>17</v>
      </c>
      <c r="H14" s="308">
        <v>-5</v>
      </c>
      <c r="I14" s="308">
        <v>-34</v>
      </c>
      <c r="J14" s="308">
        <v>-43</v>
      </c>
      <c r="K14" s="27">
        <v>-22</v>
      </c>
      <c r="L14" s="27">
        <v>-50</v>
      </c>
      <c r="M14" s="27">
        <v>-10</v>
      </c>
      <c r="N14" s="27">
        <v>-16</v>
      </c>
      <c r="O14" s="27">
        <v>3</v>
      </c>
      <c r="P14" s="27">
        <v>0</v>
      </c>
      <c r="Q14" s="308">
        <v>0</v>
      </c>
      <c r="R14" s="308">
        <v>0</v>
      </c>
      <c r="S14" s="308">
        <v>0</v>
      </c>
      <c r="T14" s="308">
        <v>0</v>
      </c>
      <c r="U14" s="308">
        <v>0</v>
      </c>
      <c r="V14" s="327"/>
      <c r="W14" s="327"/>
      <c r="X14" s="327"/>
      <c r="Y14" s="327"/>
      <c r="Z14" s="327"/>
      <c r="AA14" s="327"/>
      <c r="AB14" s="327"/>
      <c r="AC14" s="327"/>
      <c r="AD14" s="327"/>
      <c r="AE14" s="327"/>
      <c r="AF14" s="22"/>
      <c r="AH14" s="327"/>
      <c r="AI14" s="327"/>
      <c r="AJ14" s="327"/>
      <c r="AK14" s="327"/>
      <c r="AL14" s="327"/>
      <c r="AM14" s="327"/>
    </row>
    <row r="15" spans="1:40" ht="25.5" outlineLevel="1" x14ac:dyDescent="0.2">
      <c r="A15" s="134" t="s">
        <v>325</v>
      </c>
      <c r="B15" s="308">
        <v>-4</v>
      </c>
      <c r="C15" s="308">
        <v>0</v>
      </c>
      <c r="D15" s="329">
        <v>-4</v>
      </c>
      <c r="E15" s="308">
        <v>0</v>
      </c>
      <c r="F15" s="308">
        <v>-8</v>
      </c>
      <c r="G15" s="308">
        <v>-8</v>
      </c>
      <c r="H15" s="308">
        <v>-8</v>
      </c>
      <c r="I15" s="308">
        <v>0</v>
      </c>
      <c r="J15" s="308">
        <v>0</v>
      </c>
      <c r="K15" s="27">
        <v>0</v>
      </c>
      <c r="L15" s="27">
        <v>0</v>
      </c>
      <c r="M15" s="27">
        <v>0</v>
      </c>
      <c r="N15" s="27"/>
      <c r="O15" s="27"/>
      <c r="P15" s="27"/>
      <c r="Q15" s="308"/>
      <c r="R15" s="308"/>
      <c r="S15" s="308"/>
      <c r="T15" s="308"/>
      <c r="U15" s="308"/>
      <c r="V15" s="327"/>
      <c r="W15" s="327"/>
      <c r="X15" s="327"/>
      <c r="Y15" s="327"/>
      <c r="Z15" s="327"/>
      <c r="AA15" s="327"/>
      <c r="AB15" s="327"/>
      <c r="AC15" s="327"/>
      <c r="AD15" s="327"/>
      <c r="AE15" s="327"/>
      <c r="AF15" s="22"/>
      <c r="AH15" s="327"/>
      <c r="AI15" s="327"/>
      <c r="AJ15" s="327"/>
      <c r="AK15" s="327"/>
      <c r="AL15" s="327"/>
      <c r="AM15" s="327"/>
    </row>
    <row r="16" spans="1:40" ht="15" customHeight="1" outlineLevel="1" x14ac:dyDescent="0.2">
      <c r="A16" s="134" t="s">
        <v>324</v>
      </c>
      <c r="B16" s="308">
        <v>0</v>
      </c>
      <c r="C16" s="308">
        <v>0</v>
      </c>
      <c r="D16" s="308"/>
      <c r="E16" s="308">
        <v>0</v>
      </c>
      <c r="F16" s="308"/>
      <c r="G16" s="308">
        <v>0</v>
      </c>
      <c r="H16" s="308"/>
      <c r="I16" s="308">
        <v>0</v>
      </c>
      <c r="J16" s="308"/>
      <c r="K16" s="27">
        <v>-47</v>
      </c>
      <c r="L16" s="27">
        <v>-331</v>
      </c>
      <c r="M16" s="27">
        <v>306</v>
      </c>
      <c r="N16" s="27">
        <v>302</v>
      </c>
      <c r="O16" s="27">
        <v>-6</v>
      </c>
      <c r="P16" s="27">
        <v>4</v>
      </c>
      <c r="Q16" s="308">
        <v>-16</v>
      </c>
      <c r="R16" s="308">
        <v>-20</v>
      </c>
      <c r="S16" s="308">
        <v>0</v>
      </c>
      <c r="T16" s="308">
        <v>0</v>
      </c>
      <c r="U16" s="308">
        <v>0</v>
      </c>
      <c r="V16" s="327"/>
      <c r="W16" s="327"/>
      <c r="X16" s="327"/>
      <c r="Y16" s="327"/>
      <c r="Z16" s="327"/>
      <c r="AA16" s="327"/>
      <c r="AB16" s="327"/>
      <c r="AC16" s="327"/>
      <c r="AD16" s="327"/>
      <c r="AE16" s="327"/>
      <c r="AF16" s="22"/>
      <c r="AH16" s="327"/>
      <c r="AI16" s="327"/>
      <c r="AJ16" s="327"/>
      <c r="AK16" s="327"/>
      <c r="AL16" s="327"/>
      <c r="AM16" s="327"/>
    </row>
    <row r="17" spans="1:41" ht="15" customHeight="1" outlineLevel="1" x14ac:dyDescent="0.2">
      <c r="A17" s="134" t="s">
        <v>323</v>
      </c>
      <c r="B17" s="308">
        <v>-4</v>
      </c>
      <c r="C17" s="308">
        <v>-43</v>
      </c>
      <c r="D17" s="308">
        <v>-258</v>
      </c>
      <c r="E17" s="308">
        <v>0</v>
      </c>
      <c r="F17" s="308">
        <v>-10</v>
      </c>
      <c r="G17" s="308">
        <v>0</v>
      </c>
      <c r="H17" s="308">
        <v>0</v>
      </c>
      <c r="I17" s="308">
        <v>0</v>
      </c>
      <c r="J17" s="308">
        <v>0</v>
      </c>
      <c r="K17" s="27">
        <v>0</v>
      </c>
      <c r="L17" s="27">
        <v>544</v>
      </c>
      <c r="M17" s="27">
        <v>0</v>
      </c>
      <c r="N17" s="27"/>
      <c r="O17" s="27"/>
      <c r="P17" s="27"/>
      <c r="Q17" s="308"/>
      <c r="R17" s="308"/>
      <c r="S17" s="308"/>
      <c r="T17" s="308"/>
      <c r="U17" s="308"/>
      <c r="V17" s="327"/>
      <c r="W17" s="327"/>
      <c r="X17" s="327"/>
      <c r="Y17" s="327"/>
      <c r="Z17" s="327"/>
      <c r="AA17" s="327"/>
      <c r="AB17" s="327"/>
      <c r="AC17" s="327"/>
      <c r="AD17" s="327"/>
      <c r="AE17" s="327"/>
      <c r="AF17" s="22"/>
      <c r="AH17" s="327"/>
      <c r="AI17" s="327"/>
      <c r="AJ17" s="327"/>
      <c r="AK17" s="327"/>
      <c r="AL17" s="327"/>
      <c r="AM17" s="327"/>
    </row>
    <row r="18" spans="1:41" ht="15" customHeight="1" outlineLevel="1" x14ac:dyDescent="0.2">
      <c r="A18" s="134" t="s">
        <v>352</v>
      </c>
      <c r="B18" s="308">
        <v>2</v>
      </c>
      <c r="C18" s="308">
        <v>0</v>
      </c>
      <c r="D18" s="308">
        <v>-597</v>
      </c>
      <c r="E18" s="308">
        <v>0</v>
      </c>
      <c r="F18" s="308">
        <v>0</v>
      </c>
      <c r="G18" s="308">
        <v>0</v>
      </c>
      <c r="H18" s="308">
        <v>0</v>
      </c>
      <c r="I18" s="308">
        <v>0</v>
      </c>
      <c r="J18" s="308">
        <v>-66</v>
      </c>
      <c r="K18" s="27">
        <v>0</v>
      </c>
      <c r="L18" s="27">
        <v>0</v>
      </c>
      <c r="M18" s="27">
        <v>0</v>
      </c>
      <c r="N18" s="27">
        <v>0</v>
      </c>
      <c r="O18" s="27">
        <v>0</v>
      </c>
      <c r="P18" s="27">
        <v>0</v>
      </c>
      <c r="Q18" s="308">
        <v>0</v>
      </c>
      <c r="R18" s="308">
        <v>0</v>
      </c>
      <c r="S18" s="308">
        <v>0</v>
      </c>
      <c r="T18" s="308">
        <v>0</v>
      </c>
      <c r="U18" s="308">
        <v>0</v>
      </c>
      <c r="V18" s="327"/>
      <c r="W18" s="327"/>
      <c r="X18" s="327"/>
      <c r="Y18" s="327"/>
      <c r="Z18" s="327"/>
      <c r="AA18" s="327"/>
      <c r="AB18" s="327"/>
      <c r="AC18" s="327"/>
      <c r="AD18" s="327"/>
      <c r="AE18" s="327"/>
      <c r="AF18" s="22"/>
      <c r="AH18" s="327"/>
      <c r="AI18" s="327"/>
      <c r="AJ18" s="327"/>
      <c r="AK18" s="327"/>
      <c r="AL18" s="327"/>
      <c r="AM18" s="327"/>
    </row>
    <row r="19" spans="1:41" ht="15" customHeight="1" outlineLevel="1" x14ac:dyDescent="0.2">
      <c r="A19" s="134" t="s">
        <v>407</v>
      </c>
      <c r="B19" s="308">
        <v>-2</v>
      </c>
      <c r="C19" s="308">
        <v>0</v>
      </c>
      <c r="D19" s="308">
        <v>178</v>
      </c>
      <c r="E19" s="308">
        <v>0</v>
      </c>
      <c r="F19" s="308">
        <v>29</v>
      </c>
      <c r="G19" s="308">
        <v>0</v>
      </c>
      <c r="H19" s="308">
        <v>38</v>
      </c>
      <c r="I19" s="308">
        <v>0</v>
      </c>
      <c r="J19" s="308">
        <v>21</v>
      </c>
      <c r="K19" s="27">
        <v>0</v>
      </c>
      <c r="L19" s="27">
        <v>55</v>
      </c>
      <c r="M19" s="27"/>
      <c r="N19" s="27">
        <v>120</v>
      </c>
      <c r="O19" s="27">
        <v>19</v>
      </c>
      <c r="P19" s="27">
        <v>13</v>
      </c>
      <c r="Q19" s="308">
        <v>48</v>
      </c>
      <c r="R19" s="308">
        <v>41</v>
      </c>
      <c r="S19" s="308">
        <v>-3</v>
      </c>
      <c r="T19" s="308">
        <v>61</v>
      </c>
      <c r="U19" s="308">
        <v>6</v>
      </c>
      <c r="V19" s="327"/>
      <c r="W19" s="327"/>
      <c r="X19" s="327"/>
      <c r="Y19" s="327"/>
      <c r="Z19" s="327"/>
      <c r="AA19" s="327"/>
      <c r="AB19" s="327"/>
      <c r="AC19" s="327"/>
      <c r="AD19" s="327"/>
      <c r="AE19" s="327"/>
      <c r="AF19" s="22"/>
      <c r="AH19" s="327"/>
      <c r="AI19" s="327"/>
      <c r="AJ19" s="327"/>
      <c r="AK19" s="327"/>
      <c r="AL19" s="327"/>
      <c r="AM19" s="327"/>
    </row>
    <row r="20" spans="1:41" ht="15" customHeight="1" outlineLevel="1" x14ac:dyDescent="0.2">
      <c r="A20" s="134" t="s">
        <v>322</v>
      </c>
      <c r="B20" s="308">
        <v>78</v>
      </c>
      <c r="C20" s="308">
        <v>-22</v>
      </c>
      <c r="D20" s="308">
        <v>-43</v>
      </c>
      <c r="E20" s="308">
        <v>4</v>
      </c>
      <c r="F20" s="308">
        <v>57</v>
      </c>
      <c r="G20" s="308">
        <v>119</v>
      </c>
      <c r="H20" s="308">
        <v>251</v>
      </c>
      <c r="I20" s="308">
        <v>144</v>
      </c>
      <c r="J20" s="308">
        <v>324</v>
      </c>
      <c r="K20" s="27">
        <v>63</v>
      </c>
      <c r="L20" s="27">
        <v>85</v>
      </c>
      <c r="M20" s="27">
        <v>29</v>
      </c>
      <c r="N20" s="27">
        <v>137</v>
      </c>
      <c r="O20" s="27">
        <v>181</v>
      </c>
      <c r="P20" s="27">
        <v>360</v>
      </c>
      <c r="Q20" s="308">
        <v>231</v>
      </c>
      <c r="R20" s="308">
        <v>458</v>
      </c>
      <c r="S20" s="308">
        <v>214</v>
      </c>
      <c r="T20" s="308">
        <v>485</v>
      </c>
      <c r="U20" s="308">
        <v>46</v>
      </c>
      <c r="V20" s="327"/>
      <c r="W20" s="327"/>
      <c r="X20" s="327"/>
      <c r="Y20" s="327"/>
      <c r="Z20" s="327"/>
      <c r="AA20" s="327"/>
      <c r="AB20" s="327"/>
      <c r="AC20" s="327"/>
      <c r="AD20" s="327"/>
      <c r="AE20" s="327"/>
      <c r="AF20" s="22"/>
      <c r="AH20" s="327"/>
      <c r="AI20" s="327"/>
      <c r="AJ20" s="327"/>
      <c r="AK20" s="327"/>
      <c r="AL20" s="327"/>
      <c r="AM20" s="327"/>
    </row>
    <row r="21" spans="1:41" ht="15" customHeight="1" outlineLevel="1" x14ac:dyDescent="0.2">
      <c r="A21" s="134" t="s">
        <v>594</v>
      </c>
      <c r="B21" s="308">
        <v>163</v>
      </c>
      <c r="C21" s="308">
        <v>74</v>
      </c>
      <c r="D21" s="308">
        <v>93</v>
      </c>
      <c r="E21" s="308">
        <v>241</v>
      </c>
      <c r="F21" s="308">
        <v>348</v>
      </c>
      <c r="G21" s="308">
        <v>-53</v>
      </c>
      <c r="H21" s="308">
        <v>-214</v>
      </c>
      <c r="I21" s="308">
        <v>225</v>
      </c>
      <c r="J21" s="308">
        <v>202</v>
      </c>
      <c r="K21" s="27">
        <v>107</v>
      </c>
      <c r="L21" s="27">
        <v>1594</v>
      </c>
      <c r="M21" s="27">
        <v>122</v>
      </c>
      <c r="N21" s="27">
        <v>865</v>
      </c>
      <c r="O21" s="27">
        <v>-310</v>
      </c>
      <c r="P21" s="27">
        <v>-491</v>
      </c>
      <c r="Q21" s="308">
        <v>-21</v>
      </c>
      <c r="R21" s="308">
        <v>-159</v>
      </c>
      <c r="S21" s="308">
        <v>453</v>
      </c>
      <c r="T21" s="308">
        <v>1029</v>
      </c>
      <c r="U21" s="308">
        <v>-548</v>
      </c>
      <c r="V21" s="327"/>
      <c r="W21" s="327"/>
      <c r="X21" s="327"/>
      <c r="Y21" s="327"/>
      <c r="Z21" s="327"/>
      <c r="AA21" s="327"/>
      <c r="AB21" s="327"/>
      <c r="AC21" s="327"/>
      <c r="AD21" s="327"/>
      <c r="AE21" s="327"/>
      <c r="AF21" s="22"/>
      <c r="AH21" s="327"/>
      <c r="AI21" s="327"/>
      <c r="AJ21" s="327"/>
      <c r="AK21" s="327"/>
      <c r="AL21" s="327"/>
      <c r="AM21" s="327"/>
      <c r="AN21" s="43"/>
    </row>
    <row r="22" spans="1:41" ht="15" customHeight="1" outlineLevel="1" x14ac:dyDescent="0.2">
      <c r="A22" s="134" t="s">
        <v>321</v>
      </c>
      <c r="B22" s="308">
        <v>-9</v>
      </c>
      <c r="C22" s="308">
        <v>0</v>
      </c>
      <c r="D22" s="308">
        <v>19</v>
      </c>
      <c r="E22" s="308">
        <v>0</v>
      </c>
      <c r="F22" s="308">
        <v>-2</v>
      </c>
      <c r="G22" s="308">
        <v>0</v>
      </c>
      <c r="H22" s="308">
        <v>10</v>
      </c>
      <c r="I22" s="308">
        <v>0</v>
      </c>
      <c r="J22" s="308">
        <v>169</v>
      </c>
      <c r="K22" s="27">
        <v>0</v>
      </c>
      <c r="L22" s="27">
        <v>14</v>
      </c>
      <c r="M22" s="27">
        <v>0</v>
      </c>
      <c r="N22" s="27">
        <v>0</v>
      </c>
      <c r="O22" s="27"/>
      <c r="P22" s="27"/>
      <c r="Q22" s="308"/>
      <c r="R22" s="308"/>
      <c r="S22" s="308"/>
      <c r="T22" s="308"/>
      <c r="U22" s="308"/>
      <c r="V22" s="327"/>
      <c r="W22" s="327"/>
      <c r="X22" s="327"/>
      <c r="Y22" s="327"/>
      <c r="Z22" s="327"/>
      <c r="AA22" s="327"/>
      <c r="AB22" s="327"/>
      <c r="AC22" s="327"/>
      <c r="AD22" s="327"/>
      <c r="AE22" s="327"/>
      <c r="AF22" s="22"/>
      <c r="AH22" s="327"/>
      <c r="AI22" s="327"/>
      <c r="AJ22" s="327"/>
      <c r="AK22" s="327"/>
      <c r="AL22" s="327"/>
      <c r="AM22" s="327"/>
    </row>
    <row r="23" spans="1:41" ht="25.5" outlineLevel="1" x14ac:dyDescent="0.2">
      <c r="A23" s="134" t="s">
        <v>320</v>
      </c>
      <c r="B23" s="308">
        <v>0</v>
      </c>
      <c r="C23" s="308">
        <v>0</v>
      </c>
      <c r="D23" s="308">
        <v>0</v>
      </c>
      <c r="E23" s="308">
        <v>0</v>
      </c>
      <c r="F23" s="308">
        <v>0</v>
      </c>
      <c r="G23" s="308">
        <v>0</v>
      </c>
      <c r="H23" s="308">
        <v>0</v>
      </c>
      <c r="I23" s="308">
        <v>0</v>
      </c>
      <c r="J23" s="308">
        <v>-105</v>
      </c>
      <c r="K23" s="27">
        <v>0</v>
      </c>
      <c r="L23" s="27">
        <v>-12</v>
      </c>
      <c r="M23" s="27">
        <v>0</v>
      </c>
      <c r="N23" s="27"/>
      <c r="O23" s="27"/>
      <c r="P23" s="27"/>
      <c r="Q23" s="308"/>
      <c r="R23" s="308"/>
      <c r="S23" s="308"/>
      <c r="T23" s="308"/>
      <c r="U23" s="308"/>
      <c r="V23" s="327"/>
      <c r="W23" s="327"/>
      <c r="X23" s="327"/>
      <c r="Y23" s="327"/>
      <c r="Z23" s="327"/>
      <c r="AA23" s="327"/>
      <c r="AB23" s="327"/>
      <c r="AC23" s="327"/>
      <c r="AD23" s="327"/>
      <c r="AE23" s="327"/>
      <c r="AF23" s="22"/>
      <c r="AH23" s="327"/>
      <c r="AI23" s="327"/>
      <c r="AJ23" s="327"/>
      <c r="AK23" s="327"/>
      <c r="AL23" s="327"/>
      <c r="AM23" s="327"/>
    </row>
    <row r="24" spans="1:41" ht="15" customHeight="1" outlineLevel="1" x14ac:dyDescent="0.2">
      <c r="A24" s="118" t="s">
        <v>27</v>
      </c>
      <c r="B24" s="308">
        <v>16</v>
      </c>
      <c r="C24" s="308">
        <v>-11</v>
      </c>
      <c r="D24" s="308">
        <v>3</v>
      </c>
      <c r="E24" s="308">
        <v>-16</v>
      </c>
      <c r="F24" s="308">
        <v>-1</v>
      </c>
      <c r="G24" s="308">
        <v>29</v>
      </c>
      <c r="H24" s="308">
        <v>11</v>
      </c>
      <c r="I24" s="308">
        <v>-69</v>
      </c>
      <c r="J24" s="308">
        <v>63</v>
      </c>
      <c r="K24" s="27">
        <v>50</v>
      </c>
      <c r="L24" s="27">
        <v>4</v>
      </c>
      <c r="M24" s="27">
        <v>39</v>
      </c>
      <c r="N24" s="27">
        <v>27</v>
      </c>
      <c r="O24" s="27">
        <v>8</v>
      </c>
      <c r="P24" s="27">
        <v>9.0226359032000012</v>
      </c>
      <c r="Q24" s="308">
        <v>8</v>
      </c>
      <c r="R24" s="308">
        <v>58</v>
      </c>
      <c r="S24" s="308">
        <v>9</v>
      </c>
      <c r="T24" s="308">
        <v>46</v>
      </c>
      <c r="U24" s="308">
        <v>27</v>
      </c>
      <c r="V24" s="327"/>
      <c r="W24" s="327"/>
      <c r="X24" s="327"/>
      <c r="Y24" s="327"/>
      <c r="Z24" s="327"/>
      <c r="AA24" s="327"/>
      <c r="AB24" s="327"/>
      <c r="AC24" s="327"/>
      <c r="AD24" s="327"/>
      <c r="AE24" s="327"/>
      <c r="AF24" s="22"/>
      <c r="AH24" s="327"/>
      <c r="AI24" s="327"/>
      <c r="AJ24" s="327"/>
      <c r="AK24" s="327"/>
      <c r="AL24" s="327"/>
      <c r="AM24" s="327"/>
    </row>
    <row r="25" spans="1:41" ht="15" customHeight="1" x14ac:dyDescent="0.2">
      <c r="A25" s="319" t="s">
        <v>319</v>
      </c>
      <c r="B25" s="221"/>
      <c r="C25" s="221"/>
      <c r="D25" s="308"/>
      <c r="E25" s="308"/>
      <c r="F25" s="308"/>
      <c r="G25" s="308"/>
      <c r="H25" s="308"/>
      <c r="I25" s="308"/>
      <c r="J25" s="308"/>
      <c r="K25" s="27"/>
      <c r="L25" s="27"/>
      <c r="M25" s="27"/>
      <c r="N25" s="27"/>
      <c r="O25" s="27"/>
      <c r="P25" s="27"/>
      <c r="Q25" s="308"/>
      <c r="R25" s="308"/>
      <c r="S25" s="308"/>
      <c r="T25" s="308"/>
      <c r="U25" s="308"/>
      <c r="V25" s="327"/>
      <c r="W25" s="327"/>
      <c r="X25" s="327"/>
      <c r="Y25" s="327"/>
      <c r="Z25" s="327"/>
      <c r="AA25" s="327"/>
      <c r="AB25" s="327"/>
      <c r="AC25" s="327"/>
      <c r="AD25" s="327"/>
      <c r="AE25" s="327"/>
      <c r="AF25" s="22"/>
      <c r="AH25" s="327"/>
      <c r="AI25" s="327"/>
      <c r="AJ25" s="327"/>
      <c r="AK25" s="327"/>
      <c r="AL25" s="327"/>
      <c r="AM25" s="327"/>
    </row>
    <row r="26" spans="1:41" ht="15" customHeight="1" outlineLevel="1" x14ac:dyDescent="0.2">
      <c r="A26" s="266" t="s">
        <v>78</v>
      </c>
      <c r="B26" s="308">
        <v>-107</v>
      </c>
      <c r="C26" s="308">
        <v>-289</v>
      </c>
      <c r="D26" s="308">
        <v>-425</v>
      </c>
      <c r="E26" s="308">
        <v>-359</v>
      </c>
      <c r="F26" s="308">
        <v>-508</v>
      </c>
      <c r="G26" s="308">
        <v>-404</v>
      </c>
      <c r="H26" s="308">
        <v>-409</v>
      </c>
      <c r="I26" s="308">
        <v>-167</v>
      </c>
      <c r="J26" s="308">
        <v>-9</v>
      </c>
      <c r="K26" s="27">
        <v>-91</v>
      </c>
      <c r="L26" s="27">
        <v>94</v>
      </c>
      <c r="M26" s="27">
        <v>-30</v>
      </c>
      <c r="N26" s="27">
        <v>-340</v>
      </c>
      <c r="O26" s="27">
        <v>-36</v>
      </c>
      <c r="P26" s="27">
        <v>-751</v>
      </c>
      <c r="Q26" s="308">
        <v>-107</v>
      </c>
      <c r="R26" s="308">
        <v>-346</v>
      </c>
      <c r="S26" s="308">
        <v>131</v>
      </c>
      <c r="T26" s="308">
        <v>297</v>
      </c>
      <c r="U26" s="308">
        <v>98</v>
      </c>
      <c r="V26" s="327"/>
      <c r="W26" s="327"/>
      <c r="X26" s="327"/>
      <c r="Y26" s="327"/>
      <c r="Z26" s="327"/>
      <c r="AA26" s="327"/>
      <c r="AB26" s="327"/>
      <c r="AC26" s="327"/>
      <c r="AD26" s="327"/>
      <c r="AE26" s="327"/>
      <c r="AF26" s="22"/>
      <c r="AH26" s="327"/>
      <c r="AI26" s="327"/>
      <c r="AJ26" s="327"/>
      <c r="AK26" s="327"/>
      <c r="AL26" s="327"/>
      <c r="AM26" s="327"/>
    </row>
    <row r="27" spans="1:41" ht="15" customHeight="1" outlineLevel="1" x14ac:dyDescent="0.2">
      <c r="A27" s="266" t="s">
        <v>79</v>
      </c>
      <c r="B27" s="308">
        <v>-480</v>
      </c>
      <c r="C27" s="308">
        <v>-147</v>
      </c>
      <c r="D27" s="308">
        <v>-155</v>
      </c>
      <c r="E27" s="308">
        <v>-324</v>
      </c>
      <c r="F27" s="308">
        <v>120</v>
      </c>
      <c r="G27" s="308">
        <v>-21</v>
      </c>
      <c r="H27" s="308">
        <v>-22</v>
      </c>
      <c r="I27" s="308">
        <v>9</v>
      </c>
      <c r="J27" s="308">
        <v>389</v>
      </c>
      <c r="K27" s="27">
        <v>9</v>
      </c>
      <c r="L27" s="27">
        <v>237</v>
      </c>
      <c r="M27" s="27">
        <v>98</v>
      </c>
      <c r="N27" s="27">
        <v>74</v>
      </c>
      <c r="O27" s="27">
        <v>-20</v>
      </c>
      <c r="P27" s="27">
        <v>-3</v>
      </c>
      <c r="Q27" s="308">
        <v>-50</v>
      </c>
      <c r="R27" s="308">
        <v>-174</v>
      </c>
      <c r="S27" s="308">
        <v>-173</v>
      </c>
      <c r="T27" s="308">
        <v>102</v>
      </c>
      <c r="U27" s="308">
        <v>-111</v>
      </c>
      <c r="V27" s="327"/>
      <c r="W27" s="327"/>
      <c r="X27" s="327"/>
      <c r="Y27" s="327"/>
      <c r="Z27" s="327"/>
      <c r="AA27" s="327"/>
      <c r="AB27" s="327"/>
      <c r="AC27" s="327"/>
      <c r="AD27" s="327"/>
      <c r="AE27" s="327"/>
      <c r="AF27" s="22"/>
      <c r="AH27" s="327"/>
      <c r="AI27" s="327"/>
      <c r="AJ27" s="327"/>
      <c r="AK27" s="327"/>
      <c r="AL27" s="327"/>
      <c r="AM27" s="327"/>
    </row>
    <row r="28" spans="1:41" ht="15" customHeight="1" outlineLevel="1" x14ac:dyDescent="0.2">
      <c r="A28" s="266" t="s">
        <v>80</v>
      </c>
      <c r="B28" s="308">
        <v>32</v>
      </c>
      <c r="C28" s="308">
        <v>-82</v>
      </c>
      <c r="D28" s="308">
        <v>-34</v>
      </c>
      <c r="E28" s="308">
        <v>-19</v>
      </c>
      <c r="F28" s="308">
        <v>25</v>
      </c>
      <c r="G28" s="308">
        <v>-48</v>
      </c>
      <c r="H28" s="308">
        <v>-13</v>
      </c>
      <c r="I28" s="308">
        <v>-43</v>
      </c>
      <c r="J28" s="308">
        <v>-16</v>
      </c>
      <c r="K28" s="27">
        <v>-23</v>
      </c>
      <c r="L28" s="27">
        <v>-7</v>
      </c>
      <c r="M28" s="27">
        <v>2</v>
      </c>
      <c r="N28" s="27">
        <v>-2</v>
      </c>
      <c r="O28" s="27">
        <v>-43</v>
      </c>
      <c r="P28" s="27">
        <v>13</v>
      </c>
      <c r="Q28" s="308">
        <v>-17</v>
      </c>
      <c r="R28" s="308">
        <v>10</v>
      </c>
      <c r="S28" s="308">
        <v>-30</v>
      </c>
      <c r="T28" s="308">
        <v>-5</v>
      </c>
      <c r="U28" s="308">
        <v>-8</v>
      </c>
      <c r="V28" s="327"/>
      <c r="W28" s="327"/>
      <c r="X28" s="327"/>
      <c r="Y28" s="327"/>
      <c r="Z28" s="327"/>
      <c r="AA28" s="327"/>
      <c r="AB28" s="327"/>
      <c r="AC28" s="327"/>
      <c r="AD28" s="327"/>
      <c r="AE28" s="327"/>
      <c r="AF28" s="22"/>
      <c r="AH28" s="327"/>
      <c r="AI28" s="327"/>
      <c r="AJ28" s="327"/>
      <c r="AK28" s="327"/>
      <c r="AL28" s="327"/>
      <c r="AM28" s="327"/>
    </row>
    <row r="29" spans="1:41" ht="15" customHeight="1" outlineLevel="1" x14ac:dyDescent="0.2">
      <c r="A29" s="266" t="s">
        <v>318</v>
      </c>
      <c r="B29" s="308">
        <v>69</v>
      </c>
      <c r="C29" s="308">
        <v>-62</v>
      </c>
      <c r="D29" s="308">
        <v>-25</v>
      </c>
      <c r="E29" s="308">
        <v>-126</v>
      </c>
      <c r="F29" s="308">
        <v>-251</v>
      </c>
      <c r="G29" s="308">
        <v>-85</v>
      </c>
      <c r="H29" s="308">
        <v>-253</v>
      </c>
      <c r="I29" s="308">
        <v>156</v>
      </c>
      <c r="J29" s="308">
        <v>380</v>
      </c>
      <c r="K29" s="27">
        <v>138</v>
      </c>
      <c r="L29" s="27">
        <v>162</v>
      </c>
      <c r="M29" s="27">
        <v>-2</v>
      </c>
      <c r="N29" s="27">
        <v>-62</v>
      </c>
      <c r="O29" s="27">
        <v>60</v>
      </c>
      <c r="P29" s="27">
        <v>-36</v>
      </c>
      <c r="Q29" s="308">
        <v>18</v>
      </c>
      <c r="R29" s="308">
        <v>-5</v>
      </c>
      <c r="S29" s="308">
        <v>33</v>
      </c>
      <c r="T29" s="308">
        <v>-15</v>
      </c>
      <c r="U29" s="308">
        <v>-54</v>
      </c>
      <c r="V29" s="327"/>
      <c r="W29" s="327"/>
      <c r="X29" s="327"/>
      <c r="Y29" s="327"/>
      <c r="Z29" s="327"/>
      <c r="AA29" s="327"/>
      <c r="AB29" s="327"/>
      <c r="AC29" s="327"/>
      <c r="AD29" s="327"/>
      <c r="AE29" s="327"/>
      <c r="AF29" s="22"/>
      <c r="AH29" s="327"/>
      <c r="AI29" s="327"/>
      <c r="AJ29" s="327"/>
      <c r="AK29" s="327"/>
      <c r="AL29" s="327"/>
      <c r="AM29" s="327"/>
    </row>
    <row r="30" spans="1:41" ht="15" customHeight="1" outlineLevel="1" x14ac:dyDescent="0.2">
      <c r="A30" s="266" t="s">
        <v>92</v>
      </c>
      <c r="B30" s="308">
        <v>24</v>
      </c>
      <c r="C30" s="308">
        <v>-46</v>
      </c>
      <c r="D30" s="308">
        <v>27</v>
      </c>
      <c r="E30" s="308">
        <v>-63</v>
      </c>
      <c r="F30" s="308">
        <v>27</v>
      </c>
      <c r="G30" s="308">
        <v>-10</v>
      </c>
      <c r="H30" s="308">
        <v>90</v>
      </c>
      <c r="I30" s="308">
        <v>-101</v>
      </c>
      <c r="J30" s="308">
        <v>-67</v>
      </c>
      <c r="K30" s="27">
        <v>-9</v>
      </c>
      <c r="L30" s="27">
        <v>-16</v>
      </c>
      <c r="M30" s="27">
        <v>1</v>
      </c>
      <c r="N30" s="27">
        <v>42</v>
      </c>
      <c r="O30" s="27">
        <v>39</v>
      </c>
      <c r="P30" s="27">
        <v>44</v>
      </c>
      <c r="Q30" s="308">
        <v>24</v>
      </c>
      <c r="R30" s="308">
        <v>9</v>
      </c>
      <c r="S30" s="308">
        <v>-29</v>
      </c>
      <c r="T30" s="308">
        <v>11</v>
      </c>
      <c r="U30" s="308">
        <v>11</v>
      </c>
      <c r="V30" s="327"/>
      <c r="W30" s="327"/>
      <c r="X30" s="327"/>
      <c r="Y30" s="327"/>
      <c r="Z30" s="327"/>
      <c r="AA30" s="327"/>
      <c r="AB30" s="327"/>
      <c r="AC30" s="327"/>
      <c r="AD30" s="327"/>
      <c r="AE30" s="327"/>
      <c r="AF30" s="22"/>
      <c r="AH30" s="327"/>
      <c r="AI30" s="327"/>
      <c r="AJ30" s="327"/>
      <c r="AK30" s="327"/>
      <c r="AL30" s="327"/>
      <c r="AM30" s="327"/>
    </row>
    <row r="31" spans="1:41" ht="15" customHeight="1" outlineLevel="1" x14ac:dyDescent="0.2">
      <c r="A31" s="266" t="s">
        <v>94</v>
      </c>
      <c r="B31" s="308">
        <v>-119</v>
      </c>
      <c r="C31" s="308">
        <v>138</v>
      </c>
      <c r="D31" s="308">
        <v>225</v>
      </c>
      <c r="E31" s="308">
        <v>-57</v>
      </c>
      <c r="F31" s="308">
        <v>-66</v>
      </c>
      <c r="G31" s="308">
        <v>96</v>
      </c>
      <c r="H31" s="308">
        <v>35</v>
      </c>
      <c r="I31" s="308">
        <v>-30</v>
      </c>
      <c r="J31" s="308">
        <v>-58</v>
      </c>
      <c r="K31" s="27">
        <v>486</v>
      </c>
      <c r="L31" s="27">
        <v>515</v>
      </c>
      <c r="M31" s="27">
        <v>152</v>
      </c>
      <c r="N31" s="27">
        <v>152</v>
      </c>
      <c r="O31" s="27">
        <v>-8</v>
      </c>
      <c r="P31" s="27">
        <v>835</v>
      </c>
      <c r="Q31" s="308">
        <v>-172</v>
      </c>
      <c r="R31" s="308">
        <v>-1118</v>
      </c>
      <c r="S31" s="308">
        <v>536</v>
      </c>
      <c r="T31" s="308">
        <v>676</v>
      </c>
      <c r="U31" s="308">
        <v>-303</v>
      </c>
      <c r="V31" s="327"/>
      <c r="W31" s="330"/>
      <c r="X31" s="327"/>
      <c r="Y31" s="327"/>
      <c r="Z31" s="327"/>
      <c r="AA31" s="327"/>
      <c r="AB31" s="327"/>
      <c r="AC31" s="327"/>
      <c r="AD31" s="327"/>
      <c r="AE31" s="327"/>
      <c r="AF31" s="22"/>
      <c r="AH31" s="327"/>
      <c r="AI31" s="327"/>
      <c r="AJ31" s="327"/>
      <c r="AK31" s="327"/>
      <c r="AL31" s="327"/>
      <c r="AM31" s="327"/>
      <c r="AO31" s="43"/>
    </row>
    <row r="32" spans="1:41" ht="15" customHeight="1" outlineLevel="1" x14ac:dyDescent="0.2">
      <c r="A32" s="266" t="s">
        <v>93</v>
      </c>
      <c r="B32" s="308">
        <v>0</v>
      </c>
      <c r="C32" s="308">
        <v>0</v>
      </c>
      <c r="D32" s="308">
        <v>0</v>
      </c>
      <c r="E32" s="308">
        <v>0</v>
      </c>
      <c r="F32" s="308">
        <v>0</v>
      </c>
      <c r="G32" s="308">
        <v>0</v>
      </c>
      <c r="H32" s="308">
        <v>0</v>
      </c>
      <c r="I32" s="308">
        <v>-27</v>
      </c>
      <c r="J32" s="308">
        <v>-42</v>
      </c>
      <c r="K32" s="27">
        <v>-30</v>
      </c>
      <c r="L32" s="27">
        <v>-21</v>
      </c>
      <c r="M32" s="27">
        <v>0</v>
      </c>
      <c r="N32" s="27">
        <v>-4</v>
      </c>
      <c r="O32" s="27">
        <v>-10</v>
      </c>
      <c r="P32" s="27">
        <v>-45</v>
      </c>
      <c r="Q32" s="308">
        <v>-30</v>
      </c>
      <c r="R32" s="308">
        <v>-48</v>
      </c>
      <c r="S32" s="308">
        <v>-22</v>
      </c>
      <c r="T32" s="308">
        <v>-28</v>
      </c>
      <c r="U32" s="308">
        <v>-26</v>
      </c>
      <c r="V32" s="327"/>
      <c r="W32" s="327"/>
      <c r="X32" s="327"/>
      <c r="Y32" s="327"/>
      <c r="Z32" s="327"/>
      <c r="AA32" s="327"/>
      <c r="AB32" s="327"/>
      <c r="AC32" s="327"/>
      <c r="AD32" s="327"/>
      <c r="AE32" s="327"/>
      <c r="AF32" s="22"/>
      <c r="AH32" s="327"/>
      <c r="AI32" s="327"/>
      <c r="AJ32" s="327"/>
      <c r="AK32" s="327"/>
      <c r="AL32" s="327"/>
      <c r="AM32" s="327"/>
    </row>
    <row r="33" spans="1:41" ht="15" customHeight="1" outlineLevel="1" x14ac:dyDescent="0.2">
      <c r="A33" s="266" t="s">
        <v>95</v>
      </c>
      <c r="B33" s="308">
        <v>45</v>
      </c>
      <c r="C33" s="308">
        <v>26</v>
      </c>
      <c r="D33" s="308">
        <v>4</v>
      </c>
      <c r="E33" s="308">
        <v>51</v>
      </c>
      <c r="F33" s="308">
        <v>22</v>
      </c>
      <c r="G33" s="308">
        <v>78</v>
      </c>
      <c r="H33" s="308">
        <v>67</v>
      </c>
      <c r="I33" s="308">
        <v>14</v>
      </c>
      <c r="J33" s="308">
        <v>-23</v>
      </c>
      <c r="K33" s="27">
        <v>7</v>
      </c>
      <c r="L33" s="27">
        <v>38</v>
      </c>
      <c r="M33" s="27">
        <v>20</v>
      </c>
      <c r="N33" s="27">
        <v>28</v>
      </c>
      <c r="O33" s="27">
        <v>34</v>
      </c>
      <c r="P33" s="27">
        <v>26</v>
      </c>
      <c r="Q33" s="308">
        <v>21</v>
      </c>
      <c r="R33" s="308">
        <v>2</v>
      </c>
      <c r="S33" s="308">
        <v>2</v>
      </c>
      <c r="T33" s="308">
        <v>-97</v>
      </c>
      <c r="U33" s="308">
        <v>32</v>
      </c>
      <c r="V33" s="327"/>
      <c r="W33" s="327"/>
      <c r="X33" s="327"/>
      <c r="Y33" s="327"/>
      <c r="Z33" s="327"/>
      <c r="AA33" s="327"/>
      <c r="AB33" s="327"/>
      <c r="AC33" s="327"/>
      <c r="AD33" s="327"/>
      <c r="AE33" s="327"/>
      <c r="AF33" s="22"/>
      <c r="AH33" s="327"/>
      <c r="AI33" s="327"/>
      <c r="AJ33" s="327"/>
      <c r="AK33" s="327"/>
      <c r="AL33" s="327"/>
      <c r="AM33" s="327"/>
    </row>
    <row r="34" spans="1:41" ht="15" customHeight="1" x14ac:dyDescent="0.2">
      <c r="A34" s="68" t="s">
        <v>317</v>
      </c>
      <c r="B34" s="122">
        <v>3898</v>
      </c>
      <c r="C34" s="122">
        <v>2884</v>
      </c>
      <c r="D34" s="122">
        <v>7186</v>
      </c>
      <c r="E34" s="122">
        <v>2905</v>
      </c>
      <c r="F34" s="122">
        <v>6722</v>
      </c>
      <c r="G34" s="122">
        <v>2130</v>
      </c>
      <c r="H34" s="122">
        <v>4523</v>
      </c>
      <c r="I34" s="122">
        <v>2044</v>
      </c>
      <c r="J34" s="122">
        <v>4929</v>
      </c>
      <c r="K34" s="122">
        <v>3033</v>
      </c>
      <c r="L34" s="122">
        <v>6772</v>
      </c>
      <c r="M34" s="122">
        <v>2999</v>
      </c>
      <c r="N34" s="122">
        <v>4377</v>
      </c>
      <c r="O34" s="122">
        <v>1844</v>
      </c>
      <c r="P34" s="122">
        <v>4041.0226359031999</v>
      </c>
      <c r="Q34" s="122">
        <v>1487</v>
      </c>
      <c r="R34" s="122">
        <v>2433</v>
      </c>
      <c r="S34" s="427">
        <v>3533</v>
      </c>
      <c r="T34" s="122">
        <v>7280</v>
      </c>
      <c r="U34" s="122">
        <v>3396</v>
      </c>
      <c r="V34" s="327">
        <v>0.84350949204720371</v>
      </c>
      <c r="W34" s="327">
        <v>7.2815533980583602E-3</v>
      </c>
      <c r="X34" s="327">
        <v>-6.4569997216810449E-2</v>
      </c>
      <c r="Y34" s="327">
        <v>-0.26678141135972466</v>
      </c>
      <c r="Z34" s="327">
        <v>-0.32713478131508478</v>
      </c>
      <c r="AA34" s="327">
        <v>-4.0375586854460077E-2</v>
      </c>
      <c r="AB34" s="327">
        <v>8.976343135087328E-2</v>
      </c>
      <c r="AC34" s="327">
        <v>0.48385518590998045</v>
      </c>
      <c r="AD34" s="327">
        <v>0.37390951511462767</v>
      </c>
      <c r="AE34" s="327">
        <v>-1.1210023079459286E-2</v>
      </c>
      <c r="AF34" s="215">
        <v>-0.35366213821618431</v>
      </c>
      <c r="AG34" s="215">
        <v>-0.38512837612537509</v>
      </c>
      <c r="AH34" s="327">
        <v>-7.6759735914279204E-2</v>
      </c>
      <c r="AI34" s="327">
        <v>-0.1914316702819957</v>
      </c>
      <c r="AJ34" s="327">
        <v>-0.39792467916819629</v>
      </c>
      <c r="AK34" s="119">
        <v>1.3759246805648959</v>
      </c>
      <c r="AL34" s="29">
        <v>1.9921907110563093</v>
      </c>
      <c r="AM34" s="29">
        <v>-3.8777243136144945E-2</v>
      </c>
    </row>
    <row r="35" spans="1:41" ht="15" customHeight="1" outlineLevel="1" x14ac:dyDescent="0.2">
      <c r="A35" s="266" t="s">
        <v>635</v>
      </c>
      <c r="B35" s="308">
        <v>-140</v>
      </c>
      <c r="C35" s="308">
        <v>-24</v>
      </c>
      <c r="D35" s="308">
        <v>-86</v>
      </c>
      <c r="E35" s="308">
        <v>-68</v>
      </c>
      <c r="F35" s="308">
        <v>-94</v>
      </c>
      <c r="G35" s="308">
        <v>-114</v>
      </c>
      <c r="H35" s="308">
        <v>-230</v>
      </c>
      <c r="I35" s="308">
        <v>0</v>
      </c>
      <c r="J35" s="308">
        <v>0</v>
      </c>
      <c r="K35" s="27">
        <v>0</v>
      </c>
      <c r="L35" s="27">
        <v>0</v>
      </c>
      <c r="M35" s="27"/>
      <c r="N35" s="27"/>
      <c r="O35" s="27"/>
      <c r="P35" s="27"/>
      <c r="Q35" s="308"/>
      <c r="R35" s="308"/>
      <c r="S35" s="308"/>
      <c r="T35" s="308"/>
      <c r="U35" s="308"/>
      <c r="V35" s="327"/>
      <c r="W35" s="327"/>
      <c r="X35" s="327"/>
      <c r="Y35" s="327"/>
      <c r="Z35" s="327"/>
      <c r="AA35" s="327"/>
      <c r="AB35" s="327"/>
      <c r="AC35" s="327"/>
      <c r="AD35" s="327"/>
      <c r="AE35" s="327"/>
      <c r="AF35" s="22"/>
      <c r="AH35" s="327"/>
      <c r="AI35" s="327"/>
      <c r="AJ35" s="327"/>
      <c r="AK35" s="327"/>
      <c r="AL35" s="327"/>
      <c r="AM35" s="327"/>
    </row>
    <row r="36" spans="1:41" ht="15" customHeight="1" outlineLevel="1" x14ac:dyDescent="0.2">
      <c r="A36" s="266" t="s">
        <v>316</v>
      </c>
      <c r="B36" s="308">
        <v>-357</v>
      </c>
      <c r="C36" s="308">
        <v>-415</v>
      </c>
      <c r="D36" s="308">
        <v>-1586</v>
      </c>
      <c r="E36" s="308">
        <v>-1059</v>
      </c>
      <c r="F36" s="308">
        <v>-1926</v>
      </c>
      <c r="G36" s="308">
        <v>-358</v>
      </c>
      <c r="H36" s="308">
        <v>-859</v>
      </c>
      <c r="I36" s="308">
        <v>-353</v>
      </c>
      <c r="J36" s="308">
        <v>-585</v>
      </c>
      <c r="K36" s="27">
        <v>-210</v>
      </c>
      <c r="L36" s="27">
        <v>-825</v>
      </c>
      <c r="M36" s="27">
        <v>-439</v>
      </c>
      <c r="N36" s="27">
        <v>-672</v>
      </c>
      <c r="O36" s="27">
        <v>-320</v>
      </c>
      <c r="P36" s="27">
        <v>-530.3087159296</v>
      </c>
      <c r="Q36" s="308">
        <v>-320</v>
      </c>
      <c r="R36" s="308">
        <v>-670.37702022279996</v>
      </c>
      <c r="S36" s="308">
        <v>-389.6537580296</v>
      </c>
      <c r="T36" s="308">
        <v>-786.81229962509997</v>
      </c>
      <c r="U36" s="308">
        <v>-808.73430228589996</v>
      </c>
      <c r="V36" s="327"/>
      <c r="W36" s="327"/>
      <c r="X36" s="327"/>
      <c r="Y36" s="327"/>
      <c r="Z36" s="327"/>
      <c r="AA36" s="327"/>
      <c r="AB36" s="327"/>
      <c r="AC36" s="327"/>
      <c r="AD36" s="327"/>
      <c r="AE36" s="327"/>
      <c r="AF36" s="22"/>
      <c r="AH36" s="327"/>
      <c r="AI36" s="327"/>
      <c r="AJ36" s="327"/>
      <c r="AK36" s="327"/>
      <c r="AL36" s="327"/>
      <c r="AM36" s="327"/>
    </row>
    <row r="37" spans="1:41" ht="15" customHeight="1" x14ac:dyDescent="0.2">
      <c r="A37" s="68" t="s">
        <v>315</v>
      </c>
      <c r="B37" s="122">
        <v>3401</v>
      </c>
      <c r="C37" s="122">
        <v>2445</v>
      </c>
      <c r="D37" s="122">
        <v>5514</v>
      </c>
      <c r="E37" s="122">
        <v>1778</v>
      </c>
      <c r="F37" s="122">
        <v>4702</v>
      </c>
      <c r="G37" s="122">
        <v>1658</v>
      </c>
      <c r="H37" s="122">
        <v>3434</v>
      </c>
      <c r="I37" s="122">
        <v>1691</v>
      </c>
      <c r="J37" s="122">
        <v>4344</v>
      </c>
      <c r="K37" s="122">
        <v>2823</v>
      </c>
      <c r="L37" s="122">
        <v>5947</v>
      </c>
      <c r="M37" s="122">
        <v>2560</v>
      </c>
      <c r="N37" s="122">
        <v>3705</v>
      </c>
      <c r="O37" s="122">
        <v>1524</v>
      </c>
      <c r="P37" s="122">
        <v>3510.7139199735998</v>
      </c>
      <c r="Q37" s="122">
        <v>1167</v>
      </c>
      <c r="R37" s="122">
        <v>1762.6229797772</v>
      </c>
      <c r="S37" s="427">
        <v>3143.3462419704001</v>
      </c>
      <c r="T37" s="122">
        <v>6493</v>
      </c>
      <c r="U37" s="122">
        <v>2587.2656977141</v>
      </c>
      <c r="V37" s="327">
        <v>0.62128785651279039</v>
      </c>
      <c r="W37" s="327">
        <v>-0.27280163599182006</v>
      </c>
      <c r="X37" s="327">
        <v>-0.14726151614073268</v>
      </c>
      <c r="Y37" s="327">
        <v>-6.7491563554555656E-2</v>
      </c>
      <c r="Z37" s="327">
        <v>-0.26967247979583153</v>
      </c>
      <c r="AA37" s="327">
        <v>1.9903498190591007E-2</v>
      </c>
      <c r="AB37" s="327">
        <v>0.26499708794408861</v>
      </c>
      <c r="AC37" s="327">
        <v>0.66942637492607915</v>
      </c>
      <c r="AD37" s="327">
        <v>0.36901473296500931</v>
      </c>
      <c r="AE37" s="327">
        <v>-9.3163301452355629E-2</v>
      </c>
      <c r="AF37" s="215">
        <v>-0.3769968051118211</v>
      </c>
      <c r="AG37" s="215">
        <v>-0.40468749999999998</v>
      </c>
      <c r="AH37" s="327">
        <v>-5.2438887996329342E-2</v>
      </c>
      <c r="AI37" s="327">
        <v>-0.23162729658792647</v>
      </c>
      <c r="AJ37" s="327">
        <v>-0.49793032985426089</v>
      </c>
      <c r="AK37" s="119">
        <v>1.6935271996318768</v>
      </c>
      <c r="AL37" s="29">
        <v>2.6837145972196117</v>
      </c>
      <c r="AM37" s="29">
        <v>-0.17690718789786331</v>
      </c>
    </row>
    <row r="38" spans="1:41" ht="15" customHeight="1" x14ac:dyDescent="0.2">
      <c r="A38" s="52"/>
      <c r="B38" s="203"/>
      <c r="C38" s="203"/>
      <c r="D38" s="202"/>
      <c r="E38" s="202"/>
      <c r="F38" s="202"/>
      <c r="G38" s="202"/>
      <c r="H38" s="202"/>
      <c r="I38" s="202"/>
      <c r="J38" s="202"/>
      <c r="K38" s="203"/>
      <c r="L38" s="203"/>
      <c r="M38" s="203"/>
      <c r="N38" s="203"/>
      <c r="O38" s="203"/>
      <c r="P38" s="203"/>
      <c r="Q38" s="202"/>
      <c r="R38" s="202"/>
      <c r="S38" s="202"/>
      <c r="T38" s="202"/>
      <c r="U38" s="202"/>
      <c r="V38" s="326"/>
      <c r="W38" s="326"/>
      <c r="X38" s="326"/>
      <c r="Y38" s="326"/>
      <c r="Z38" s="326"/>
      <c r="AA38" s="326"/>
      <c r="AB38" s="326"/>
      <c r="AC38" s="326"/>
      <c r="AD38" s="326"/>
      <c r="AE38" s="326"/>
      <c r="AF38" s="22"/>
      <c r="AH38" s="326"/>
      <c r="AI38" s="326"/>
      <c r="AJ38" s="326"/>
      <c r="AK38" s="326"/>
      <c r="AL38" s="326"/>
      <c r="AM38" s="326"/>
    </row>
    <row r="39" spans="1:41" ht="15" customHeight="1" x14ac:dyDescent="0.2">
      <c r="A39" s="68" t="s">
        <v>314</v>
      </c>
      <c r="B39" s="221"/>
      <c r="C39" s="221"/>
      <c r="D39" s="308"/>
      <c r="E39" s="308"/>
      <c r="F39" s="308"/>
      <c r="G39" s="308"/>
      <c r="H39" s="308"/>
      <c r="I39" s="308"/>
      <c r="J39" s="308"/>
      <c r="K39" s="27"/>
      <c r="L39" s="27"/>
      <c r="M39" s="27"/>
      <c r="N39" s="27"/>
      <c r="O39" s="27"/>
      <c r="P39" s="27"/>
      <c r="Q39" s="308"/>
      <c r="R39" s="308"/>
      <c r="S39" s="308"/>
      <c r="T39" s="308"/>
      <c r="U39" s="308"/>
      <c r="V39" s="326"/>
      <c r="W39" s="326"/>
      <c r="X39" s="326"/>
      <c r="Y39" s="326"/>
      <c r="Z39" s="326"/>
      <c r="AA39" s="326"/>
      <c r="AB39" s="326"/>
      <c r="AC39" s="326"/>
      <c r="AD39" s="326"/>
      <c r="AE39" s="326"/>
      <c r="AF39" s="22"/>
      <c r="AH39" s="326"/>
      <c r="AI39" s="326"/>
      <c r="AJ39" s="326"/>
      <c r="AK39" s="326"/>
      <c r="AL39" s="326"/>
      <c r="AM39" s="326"/>
    </row>
    <row r="40" spans="1:41" ht="15" customHeight="1" outlineLevel="1" x14ac:dyDescent="0.2">
      <c r="A40" s="269" t="s">
        <v>313</v>
      </c>
      <c r="B40" s="308">
        <v>1</v>
      </c>
      <c r="C40" s="308">
        <v>0</v>
      </c>
      <c r="D40" s="308">
        <v>-5</v>
      </c>
      <c r="E40" s="308">
        <v>0</v>
      </c>
      <c r="F40" s="308">
        <v>-12</v>
      </c>
      <c r="G40" s="308">
        <v>0</v>
      </c>
      <c r="H40" s="308">
        <v>0</v>
      </c>
      <c r="I40" s="308">
        <v>-15</v>
      </c>
      <c r="J40" s="308">
        <v>-15</v>
      </c>
      <c r="K40" s="27">
        <v>0</v>
      </c>
      <c r="L40" s="27">
        <v>0</v>
      </c>
      <c r="M40" s="27">
        <v>0</v>
      </c>
      <c r="N40" s="27">
        <v>0</v>
      </c>
      <c r="O40" s="27">
        <v>0</v>
      </c>
      <c r="P40" s="27">
        <v>0</v>
      </c>
      <c r="Q40" s="308">
        <v>0</v>
      </c>
      <c r="R40" s="308">
        <v>0</v>
      </c>
      <c r="S40" s="308">
        <v>0</v>
      </c>
      <c r="T40" s="308">
        <v>0</v>
      </c>
      <c r="U40" s="308">
        <v>0</v>
      </c>
      <c r="V40" s="326"/>
      <c r="W40" s="326"/>
      <c r="X40" s="326"/>
      <c r="Y40" s="326"/>
      <c r="Z40" s="326"/>
      <c r="AA40" s="326"/>
      <c r="AB40" s="326"/>
      <c r="AC40" s="326"/>
      <c r="AD40" s="326"/>
      <c r="AE40" s="326"/>
      <c r="AF40" s="22"/>
      <c r="AH40" s="326"/>
      <c r="AI40" s="326"/>
      <c r="AJ40" s="326"/>
      <c r="AK40" s="326"/>
      <c r="AL40" s="326"/>
      <c r="AM40" s="326"/>
    </row>
    <row r="41" spans="1:41" ht="15" customHeight="1" outlineLevel="1" x14ac:dyDescent="0.2">
      <c r="A41" s="269" t="s">
        <v>312</v>
      </c>
      <c r="B41" s="308">
        <v>0</v>
      </c>
      <c r="C41" s="308">
        <v>0</v>
      </c>
      <c r="D41" s="308">
        <v>892</v>
      </c>
      <c r="E41" s="308">
        <v>-468</v>
      </c>
      <c r="F41" s="308">
        <v>-468</v>
      </c>
      <c r="G41" s="308">
        <v>0</v>
      </c>
      <c r="H41" s="308">
        <v>0</v>
      </c>
      <c r="I41" s="308">
        <v>0</v>
      </c>
      <c r="J41" s="308">
        <v>65</v>
      </c>
      <c r="K41" s="27">
        <v>0</v>
      </c>
      <c r="L41" s="27">
        <v>0</v>
      </c>
      <c r="M41" s="27">
        <v>0</v>
      </c>
      <c r="N41" s="27">
        <v>0</v>
      </c>
      <c r="O41" s="27">
        <v>0</v>
      </c>
      <c r="P41" s="27">
        <v>0</v>
      </c>
      <c r="Q41" s="308">
        <v>0</v>
      </c>
      <c r="R41" s="308">
        <v>0</v>
      </c>
      <c r="S41" s="308">
        <v>0</v>
      </c>
      <c r="T41" s="308">
        <v>0</v>
      </c>
      <c r="U41" s="308">
        <v>0</v>
      </c>
      <c r="V41" s="326"/>
      <c r="W41" s="326"/>
      <c r="X41" s="326"/>
      <c r="Y41" s="326"/>
      <c r="Z41" s="326"/>
      <c r="AA41" s="326"/>
      <c r="AB41" s="326"/>
      <c r="AC41" s="326"/>
      <c r="AD41" s="326"/>
      <c r="AE41" s="326"/>
      <c r="AF41" s="22"/>
      <c r="AH41" s="326"/>
      <c r="AI41" s="326"/>
      <c r="AJ41" s="326"/>
      <c r="AK41" s="326"/>
      <c r="AL41" s="326"/>
      <c r="AM41" s="326"/>
    </row>
    <row r="42" spans="1:41" ht="15" customHeight="1" outlineLevel="1" x14ac:dyDescent="0.2">
      <c r="A42" s="269" t="s">
        <v>311</v>
      </c>
      <c r="B42" s="308">
        <v>-88</v>
      </c>
      <c r="C42" s="308">
        <v>-5</v>
      </c>
      <c r="D42" s="308">
        <v>-17</v>
      </c>
      <c r="E42" s="308">
        <v>-2</v>
      </c>
      <c r="F42" s="308">
        <v>-2</v>
      </c>
      <c r="G42" s="308">
        <v>-16</v>
      </c>
      <c r="H42" s="308">
        <v>-29</v>
      </c>
      <c r="I42" s="308">
        <v>0</v>
      </c>
      <c r="J42" s="308">
        <v>0</v>
      </c>
      <c r="K42" s="27">
        <v>0</v>
      </c>
      <c r="L42" s="27">
        <v>0</v>
      </c>
      <c r="M42" s="27">
        <v>0</v>
      </c>
      <c r="N42" s="27">
        <v>0</v>
      </c>
      <c r="O42" s="27">
        <v>0</v>
      </c>
      <c r="P42" s="27">
        <v>0</v>
      </c>
      <c r="Q42" s="308">
        <v>0</v>
      </c>
      <c r="R42" s="308">
        <v>0</v>
      </c>
      <c r="S42" s="308">
        <v>0</v>
      </c>
      <c r="T42" s="308">
        <v>0</v>
      </c>
      <c r="U42" s="308">
        <v>0</v>
      </c>
      <c r="V42" s="326"/>
      <c r="W42" s="326"/>
      <c r="X42" s="326"/>
      <c r="Y42" s="326"/>
      <c r="Z42" s="326"/>
      <c r="AA42" s="326"/>
      <c r="AB42" s="326"/>
      <c r="AC42" s="326"/>
      <c r="AD42" s="326"/>
      <c r="AE42" s="326"/>
      <c r="AF42" s="22"/>
      <c r="AH42" s="326"/>
      <c r="AI42" s="326"/>
      <c r="AJ42" s="326"/>
      <c r="AK42" s="326"/>
      <c r="AL42" s="326"/>
      <c r="AM42" s="326"/>
      <c r="AO42" s="43"/>
    </row>
    <row r="43" spans="1:41" ht="15" customHeight="1" outlineLevel="1" x14ac:dyDescent="0.2">
      <c r="A43" s="269" t="s">
        <v>310</v>
      </c>
      <c r="B43" s="308">
        <v>-1061</v>
      </c>
      <c r="C43" s="308">
        <v>-705</v>
      </c>
      <c r="D43" s="308">
        <v>-1728</v>
      </c>
      <c r="E43" s="308">
        <v>-1046</v>
      </c>
      <c r="F43" s="308">
        <v>-2201</v>
      </c>
      <c r="G43" s="308">
        <v>-1105</v>
      </c>
      <c r="H43" s="308">
        <v>-2692</v>
      </c>
      <c r="I43" s="308">
        <v>-874</v>
      </c>
      <c r="J43" s="308">
        <v>-1970</v>
      </c>
      <c r="K43" s="27">
        <v>-479</v>
      </c>
      <c r="L43" s="27">
        <v>-1277</v>
      </c>
      <c r="M43" s="27">
        <v>-563</v>
      </c>
      <c r="N43" s="27">
        <v>-1626</v>
      </c>
      <c r="O43" s="27">
        <v>-693</v>
      </c>
      <c r="P43" s="27">
        <v>-1667</v>
      </c>
      <c r="Q43" s="308">
        <v>-697</v>
      </c>
      <c r="R43" s="308">
        <v>-1940</v>
      </c>
      <c r="S43" s="308">
        <v>-503</v>
      </c>
      <c r="T43" s="308">
        <v>-1480</v>
      </c>
      <c r="U43" s="308">
        <v>-481</v>
      </c>
      <c r="V43" s="326"/>
      <c r="W43" s="326"/>
      <c r="X43" s="326"/>
      <c r="Y43" s="326"/>
      <c r="Z43" s="326"/>
      <c r="AA43" s="326"/>
      <c r="AB43" s="326"/>
      <c r="AC43" s="326"/>
      <c r="AD43" s="326"/>
      <c r="AE43" s="326"/>
      <c r="AF43" s="22"/>
      <c r="AH43" s="326"/>
      <c r="AI43" s="326"/>
      <c r="AJ43" s="326"/>
      <c r="AK43" s="326"/>
      <c r="AL43" s="326"/>
      <c r="AM43" s="326"/>
      <c r="AN43" s="43"/>
    </row>
    <row r="44" spans="1:41" ht="15" customHeight="1" outlineLevel="1" x14ac:dyDescent="0.2">
      <c r="A44" s="269" t="s">
        <v>309</v>
      </c>
      <c r="B44" s="308">
        <v>38</v>
      </c>
      <c r="C44" s="308">
        <v>16</v>
      </c>
      <c r="D44" s="308">
        <v>33</v>
      </c>
      <c r="E44" s="308">
        <v>14</v>
      </c>
      <c r="F44" s="308">
        <v>23</v>
      </c>
      <c r="G44" s="308">
        <v>13</v>
      </c>
      <c r="H44" s="308">
        <v>10</v>
      </c>
      <c r="I44" s="308">
        <v>15</v>
      </c>
      <c r="J44" s="308">
        <v>18</v>
      </c>
      <c r="K44" s="27">
        <v>17</v>
      </c>
      <c r="L44" s="27">
        <v>20</v>
      </c>
      <c r="M44" s="27">
        <v>0</v>
      </c>
      <c r="N44" s="27">
        <v>1</v>
      </c>
      <c r="O44" s="27">
        <v>1</v>
      </c>
      <c r="P44" s="27">
        <v>1</v>
      </c>
      <c r="Q44" s="308">
        <v>20</v>
      </c>
      <c r="R44" s="308">
        <v>29</v>
      </c>
      <c r="S44" s="308">
        <v>1</v>
      </c>
      <c r="T44" s="308">
        <v>3</v>
      </c>
      <c r="U44" s="308">
        <v>3</v>
      </c>
      <c r="V44" s="326"/>
      <c r="W44" s="326"/>
      <c r="X44" s="326"/>
      <c r="Y44" s="326"/>
      <c r="Z44" s="326"/>
      <c r="AA44" s="326"/>
      <c r="AB44" s="326"/>
      <c r="AC44" s="326"/>
      <c r="AD44" s="326"/>
      <c r="AE44" s="326"/>
      <c r="AF44" s="22"/>
      <c r="AH44" s="326"/>
      <c r="AI44" s="326"/>
      <c r="AJ44" s="326"/>
      <c r="AK44" s="326"/>
      <c r="AL44" s="326"/>
      <c r="AM44" s="326"/>
    </row>
    <row r="45" spans="1:41" ht="15" customHeight="1" outlineLevel="1" x14ac:dyDescent="0.2">
      <c r="A45" s="269" t="s">
        <v>308</v>
      </c>
      <c r="B45" s="308">
        <v>0</v>
      </c>
      <c r="C45" s="308">
        <v>0</v>
      </c>
      <c r="D45" s="308">
        <v>0</v>
      </c>
      <c r="E45" s="308">
        <v>0</v>
      </c>
      <c r="F45" s="308">
        <v>0</v>
      </c>
      <c r="G45" s="308">
        <v>0</v>
      </c>
      <c r="H45" s="308">
        <v>0</v>
      </c>
      <c r="I45" s="308">
        <v>0</v>
      </c>
      <c r="J45" s="308">
        <v>0</v>
      </c>
      <c r="K45" s="27">
        <v>19</v>
      </c>
      <c r="L45" s="27">
        <v>24</v>
      </c>
      <c r="M45" s="27">
        <v>0</v>
      </c>
      <c r="N45" s="27"/>
      <c r="O45" s="27">
        <v>7</v>
      </c>
      <c r="P45" s="27">
        <v>3</v>
      </c>
      <c r="Q45" s="308">
        <v>88</v>
      </c>
      <c r="R45" s="308">
        <v>99</v>
      </c>
      <c r="S45" s="308">
        <v>0</v>
      </c>
      <c r="T45" s="308">
        <v>0</v>
      </c>
      <c r="U45" s="308">
        <v>0</v>
      </c>
      <c r="V45" s="326"/>
      <c r="W45" s="326"/>
      <c r="X45" s="326"/>
      <c r="Y45" s="326"/>
      <c r="Z45" s="326"/>
      <c r="AA45" s="326"/>
      <c r="AB45" s="326"/>
      <c r="AC45" s="326"/>
      <c r="AD45" s="326"/>
      <c r="AE45" s="326"/>
      <c r="AF45" s="22"/>
      <c r="AH45" s="326"/>
      <c r="AI45" s="326"/>
      <c r="AJ45" s="326"/>
      <c r="AK45" s="326"/>
      <c r="AL45" s="326"/>
      <c r="AM45" s="326"/>
    </row>
    <row r="46" spans="1:41" ht="15" customHeight="1" outlineLevel="1" x14ac:dyDescent="0.2">
      <c r="A46" s="269" t="s">
        <v>307</v>
      </c>
      <c r="B46" s="308">
        <v>-30</v>
      </c>
      <c r="C46" s="308">
        <v>-14</v>
      </c>
      <c r="D46" s="308">
        <v>-24</v>
      </c>
      <c r="E46" s="308">
        <v>-5</v>
      </c>
      <c r="F46" s="308">
        <v>-31</v>
      </c>
      <c r="G46" s="308">
        <v>-10</v>
      </c>
      <c r="H46" s="308">
        <v>-21</v>
      </c>
      <c r="I46" s="308">
        <v>-10</v>
      </c>
      <c r="J46" s="308">
        <v>-19</v>
      </c>
      <c r="K46" s="27">
        <v>-12</v>
      </c>
      <c r="L46" s="27">
        <v>-21</v>
      </c>
      <c r="M46" s="27">
        <v>-6</v>
      </c>
      <c r="N46" s="27">
        <v>-28</v>
      </c>
      <c r="O46" s="27">
        <v>-13</v>
      </c>
      <c r="P46" s="27">
        <v>-47</v>
      </c>
      <c r="Q46" s="308">
        <v>-14</v>
      </c>
      <c r="R46" s="308">
        <v>-62</v>
      </c>
      <c r="S46" s="308">
        <v>-33</v>
      </c>
      <c r="T46" s="308">
        <v>-73</v>
      </c>
      <c r="U46" s="308">
        <v>-19</v>
      </c>
      <c r="V46" s="326"/>
      <c r="W46" s="326"/>
      <c r="X46" s="326"/>
      <c r="Y46" s="326"/>
      <c r="Z46" s="326"/>
      <c r="AA46" s="326"/>
      <c r="AB46" s="326"/>
      <c r="AC46" s="326"/>
      <c r="AD46" s="326"/>
      <c r="AE46" s="326"/>
      <c r="AF46" s="22"/>
      <c r="AH46" s="326"/>
      <c r="AI46" s="326"/>
      <c r="AJ46" s="326"/>
      <c r="AK46" s="326"/>
      <c r="AL46" s="326"/>
      <c r="AM46" s="326"/>
    </row>
    <row r="47" spans="1:41" ht="15" customHeight="1" outlineLevel="1" x14ac:dyDescent="0.2">
      <c r="A47" s="269" t="s">
        <v>306</v>
      </c>
      <c r="B47" s="308">
        <v>-327</v>
      </c>
      <c r="C47" s="308">
        <v>-495</v>
      </c>
      <c r="D47" s="308">
        <v>-599</v>
      </c>
      <c r="E47" s="308">
        <v>-463</v>
      </c>
      <c r="F47" s="308">
        <v>-711</v>
      </c>
      <c r="G47" s="308">
        <v>-25</v>
      </c>
      <c r="H47" s="308">
        <v>-81</v>
      </c>
      <c r="I47" s="308">
        <v>-151</v>
      </c>
      <c r="J47" s="308">
        <v>-155</v>
      </c>
      <c r="K47" s="27">
        <v>-7</v>
      </c>
      <c r="L47" s="27">
        <v>-9</v>
      </c>
      <c r="M47" s="27">
        <v>0</v>
      </c>
      <c r="N47" s="27">
        <v>0</v>
      </c>
      <c r="O47" s="27">
        <v>-150</v>
      </c>
      <c r="P47" s="27">
        <v>-150</v>
      </c>
      <c r="Q47" s="308">
        <v>0</v>
      </c>
      <c r="R47" s="308">
        <v>0</v>
      </c>
      <c r="S47" s="308">
        <v>0</v>
      </c>
      <c r="T47" s="308">
        <v>0</v>
      </c>
      <c r="U47" s="308">
        <v>-5</v>
      </c>
      <c r="V47" s="326"/>
      <c r="W47" s="326"/>
      <c r="X47" s="326"/>
      <c r="Y47" s="326"/>
      <c r="Z47" s="326"/>
      <c r="AA47" s="326"/>
      <c r="AB47" s="326"/>
      <c r="AC47" s="326"/>
      <c r="AD47" s="326"/>
      <c r="AE47" s="326"/>
      <c r="AF47" s="22"/>
      <c r="AH47" s="326"/>
      <c r="AI47" s="326"/>
      <c r="AJ47" s="326"/>
      <c r="AK47" s="326"/>
      <c r="AL47" s="326"/>
      <c r="AM47" s="326"/>
    </row>
    <row r="48" spans="1:41" ht="15" customHeight="1" outlineLevel="1" x14ac:dyDescent="0.2">
      <c r="A48" s="269" t="s">
        <v>305</v>
      </c>
      <c r="B48" s="308">
        <v>0</v>
      </c>
      <c r="C48" s="308">
        <v>0</v>
      </c>
      <c r="D48" s="308">
        <v>-77</v>
      </c>
      <c r="E48" s="308">
        <v>-6</v>
      </c>
      <c r="F48" s="308">
        <v>-50</v>
      </c>
      <c r="G48" s="308">
        <v>-20</v>
      </c>
      <c r="H48" s="308">
        <v>-31</v>
      </c>
      <c r="I48" s="308">
        <v>-18</v>
      </c>
      <c r="J48" s="308">
        <v>-47</v>
      </c>
      <c r="K48" s="27">
        <v>-17</v>
      </c>
      <c r="L48" s="27">
        <v>-35</v>
      </c>
      <c r="M48" s="27">
        <v>-15</v>
      </c>
      <c r="N48" s="27">
        <v>-31</v>
      </c>
      <c r="O48" s="27">
        <v>-22</v>
      </c>
      <c r="P48" s="27">
        <v>-31</v>
      </c>
      <c r="Q48" s="308">
        <v>-82</v>
      </c>
      <c r="R48" s="308">
        <v>-88</v>
      </c>
      <c r="S48" s="308">
        <v>-99</v>
      </c>
      <c r="T48" s="308">
        <v>-104</v>
      </c>
      <c r="U48" s="308">
        <v>0</v>
      </c>
      <c r="V48" s="326"/>
      <c r="W48" s="326"/>
      <c r="X48" s="326"/>
      <c r="Y48" s="326"/>
      <c r="Z48" s="326"/>
      <c r="AA48" s="326"/>
      <c r="AB48" s="326"/>
      <c r="AC48" s="326"/>
      <c r="AD48" s="326"/>
      <c r="AE48" s="326"/>
      <c r="AF48" s="22"/>
      <c r="AH48" s="326"/>
      <c r="AI48" s="326"/>
      <c r="AJ48" s="326"/>
      <c r="AK48" s="326"/>
      <c r="AL48" s="326"/>
      <c r="AM48" s="326"/>
    </row>
    <row r="49" spans="1:42" ht="15" customHeight="1" outlineLevel="1" x14ac:dyDescent="0.2">
      <c r="A49" s="269" t="s">
        <v>339</v>
      </c>
      <c r="B49" s="308">
        <v>0</v>
      </c>
      <c r="C49" s="308">
        <v>0</v>
      </c>
      <c r="D49" s="308">
        <v>0</v>
      </c>
      <c r="E49" s="308">
        <v>0</v>
      </c>
      <c r="F49" s="308">
        <v>0</v>
      </c>
      <c r="G49" s="308">
        <v>0</v>
      </c>
      <c r="H49" s="308">
        <v>0</v>
      </c>
      <c r="I49" s="308">
        <v>0</v>
      </c>
      <c r="J49" s="308">
        <v>9</v>
      </c>
      <c r="K49" s="27">
        <v>0</v>
      </c>
      <c r="L49" s="27">
        <v>0</v>
      </c>
      <c r="M49" s="27">
        <v>0</v>
      </c>
      <c r="N49" s="27">
        <v>-27</v>
      </c>
      <c r="O49" s="27">
        <v>-12</v>
      </c>
      <c r="P49" s="27">
        <v>-103</v>
      </c>
      <c r="Q49" s="308">
        <v>-9</v>
      </c>
      <c r="R49" s="308">
        <v>-18</v>
      </c>
      <c r="S49" s="308">
        <v>-3</v>
      </c>
      <c r="T49" s="308">
        <v>-7</v>
      </c>
      <c r="U49" s="308">
        <v>-2</v>
      </c>
      <c r="V49" s="326"/>
      <c r="W49" s="326"/>
      <c r="X49" s="326"/>
      <c r="Y49" s="326"/>
      <c r="Z49" s="326"/>
      <c r="AA49" s="326"/>
      <c r="AB49" s="326"/>
      <c r="AC49" s="326"/>
      <c r="AD49" s="326"/>
      <c r="AE49" s="326"/>
      <c r="AF49" s="22"/>
      <c r="AH49" s="326"/>
      <c r="AI49" s="326"/>
      <c r="AJ49" s="326"/>
      <c r="AK49" s="326"/>
      <c r="AL49" s="326"/>
      <c r="AM49" s="326"/>
    </row>
    <row r="50" spans="1:42" ht="15" customHeight="1" outlineLevel="1" x14ac:dyDescent="0.2">
      <c r="A50" s="269" t="s">
        <v>408</v>
      </c>
      <c r="B50" s="308"/>
      <c r="C50" s="308"/>
      <c r="D50" s="308"/>
      <c r="E50" s="308"/>
      <c r="F50" s="308"/>
      <c r="G50" s="308"/>
      <c r="H50" s="308"/>
      <c r="I50" s="308"/>
      <c r="J50" s="308"/>
      <c r="K50" s="27"/>
      <c r="L50" s="27"/>
      <c r="M50" s="27"/>
      <c r="N50" s="27"/>
      <c r="O50" s="27">
        <v>0</v>
      </c>
      <c r="P50" s="27"/>
      <c r="Q50" s="308">
        <v>38</v>
      </c>
      <c r="R50" s="308">
        <v>48</v>
      </c>
      <c r="S50" s="308">
        <v>4</v>
      </c>
      <c r="T50" s="308">
        <v>13</v>
      </c>
      <c r="U50" s="308">
        <v>2</v>
      </c>
      <c r="V50" s="326"/>
      <c r="W50" s="326"/>
      <c r="X50" s="326"/>
      <c r="Y50" s="326"/>
      <c r="Z50" s="326"/>
      <c r="AA50" s="326"/>
      <c r="AB50" s="326"/>
      <c r="AC50" s="326"/>
      <c r="AD50" s="326"/>
      <c r="AE50" s="326"/>
      <c r="AF50" s="22"/>
      <c r="AH50" s="326"/>
      <c r="AI50" s="326"/>
      <c r="AJ50" s="326"/>
      <c r="AK50" s="326"/>
      <c r="AL50" s="326"/>
      <c r="AM50" s="326"/>
    </row>
    <row r="51" spans="1:42" ht="15" customHeight="1" outlineLevel="1" x14ac:dyDescent="0.2">
      <c r="A51" s="269" t="s">
        <v>304</v>
      </c>
      <c r="B51" s="308">
        <v>809</v>
      </c>
      <c r="C51" s="308">
        <v>-948</v>
      </c>
      <c r="D51" s="308">
        <v>-815</v>
      </c>
      <c r="E51" s="308">
        <v>585</v>
      </c>
      <c r="F51" s="308">
        <v>859</v>
      </c>
      <c r="G51" s="308">
        <v>-136</v>
      </c>
      <c r="H51" s="308">
        <v>-132</v>
      </c>
      <c r="I51" s="308">
        <v>99</v>
      </c>
      <c r="J51" s="308">
        <v>215</v>
      </c>
      <c r="K51" s="27">
        <v>-62</v>
      </c>
      <c r="L51" s="27">
        <v>-106</v>
      </c>
      <c r="M51" s="27">
        <v>80</v>
      </c>
      <c r="N51" s="27">
        <v>91</v>
      </c>
      <c r="O51" s="27">
        <v>-50</v>
      </c>
      <c r="P51" s="27">
        <v>-10</v>
      </c>
      <c r="Q51" s="308">
        <v>-50</v>
      </c>
      <c r="R51" s="308">
        <v>-80</v>
      </c>
      <c r="S51" s="308">
        <v>51</v>
      </c>
      <c r="T51" s="308">
        <v>5</v>
      </c>
      <c r="U51" s="308">
        <v>80</v>
      </c>
      <c r="V51" s="326"/>
      <c r="W51" s="326"/>
      <c r="X51" s="326"/>
      <c r="Y51" s="326"/>
      <c r="Z51" s="326"/>
      <c r="AA51" s="326"/>
      <c r="AB51" s="326"/>
      <c r="AC51" s="326"/>
      <c r="AD51" s="326"/>
      <c r="AE51" s="326"/>
      <c r="AF51" s="22"/>
      <c r="AH51" s="326"/>
      <c r="AI51" s="326"/>
      <c r="AJ51" s="326"/>
      <c r="AK51" s="326"/>
      <c r="AL51" s="326"/>
      <c r="AM51" s="326"/>
    </row>
    <row r="52" spans="1:42" ht="15" customHeight="1" outlineLevel="1" x14ac:dyDescent="0.2">
      <c r="A52" s="269" t="s">
        <v>595</v>
      </c>
      <c r="B52" s="308">
        <v>0</v>
      </c>
      <c r="C52" s="308">
        <v>0</v>
      </c>
      <c r="D52" s="308">
        <v>0</v>
      </c>
      <c r="E52" s="308">
        <v>0</v>
      </c>
      <c r="F52" s="308">
        <v>0</v>
      </c>
      <c r="G52" s="308">
        <v>0</v>
      </c>
      <c r="H52" s="308">
        <v>19</v>
      </c>
      <c r="I52" s="308">
        <v>27</v>
      </c>
      <c r="J52" s="308">
        <v>52</v>
      </c>
      <c r="K52" s="27">
        <v>27</v>
      </c>
      <c r="L52" s="27">
        <v>88</v>
      </c>
      <c r="M52" s="27">
        <v>65</v>
      </c>
      <c r="N52" s="27">
        <v>101</v>
      </c>
      <c r="O52" s="27">
        <v>27</v>
      </c>
      <c r="P52" s="27">
        <v>74</v>
      </c>
      <c r="Q52" s="308">
        <v>46</v>
      </c>
      <c r="R52" s="308">
        <v>67</v>
      </c>
      <c r="S52" s="308">
        <v>39</v>
      </c>
      <c r="T52" s="308">
        <v>81</v>
      </c>
      <c r="U52" s="308">
        <v>41</v>
      </c>
      <c r="V52" s="326"/>
      <c r="W52" s="326"/>
      <c r="X52" s="326"/>
      <c r="Y52" s="326"/>
      <c r="Z52" s="326"/>
      <c r="AA52" s="326"/>
      <c r="AB52" s="326"/>
      <c r="AC52" s="326"/>
      <c r="AD52" s="326"/>
      <c r="AE52" s="326"/>
      <c r="AF52" s="22"/>
      <c r="AH52" s="326"/>
      <c r="AI52" s="326"/>
      <c r="AJ52" s="326"/>
      <c r="AK52" s="326"/>
      <c r="AL52" s="326"/>
      <c r="AM52" s="326"/>
    </row>
    <row r="53" spans="1:42" ht="15" customHeight="1" outlineLevel="1" x14ac:dyDescent="0.2">
      <c r="A53" s="269" t="s">
        <v>303</v>
      </c>
      <c r="B53" s="308">
        <v>108</v>
      </c>
      <c r="C53" s="308">
        <v>349</v>
      </c>
      <c r="D53" s="308">
        <v>892</v>
      </c>
      <c r="E53" s="308">
        <v>169</v>
      </c>
      <c r="F53" s="308">
        <v>715</v>
      </c>
      <c r="G53" s="308">
        <v>24</v>
      </c>
      <c r="H53" s="308">
        <v>42</v>
      </c>
      <c r="I53" s="308">
        <v>85</v>
      </c>
      <c r="J53" s="308">
        <v>97</v>
      </c>
      <c r="K53" s="27">
        <v>62</v>
      </c>
      <c r="L53" s="27">
        <v>91</v>
      </c>
      <c r="M53" s="27">
        <v>44</v>
      </c>
      <c r="N53" s="27">
        <v>204</v>
      </c>
      <c r="O53" s="27">
        <v>0</v>
      </c>
      <c r="P53" s="27">
        <v>10</v>
      </c>
      <c r="Q53" s="308">
        <v>5</v>
      </c>
      <c r="R53" s="308">
        <v>9</v>
      </c>
      <c r="S53" s="308">
        <v>0</v>
      </c>
      <c r="T53" s="308">
        <v>0</v>
      </c>
      <c r="U53" s="308">
        <v>0</v>
      </c>
      <c r="V53" s="326"/>
      <c r="W53" s="326"/>
      <c r="X53" s="326"/>
      <c r="Y53" s="326"/>
      <c r="Z53" s="326"/>
      <c r="AA53" s="326"/>
      <c r="AB53" s="326"/>
      <c r="AC53" s="326"/>
      <c r="AD53" s="326"/>
      <c r="AE53" s="326"/>
      <c r="AF53" s="22"/>
      <c r="AH53" s="326"/>
      <c r="AI53" s="326"/>
      <c r="AJ53" s="326"/>
      <c r="AK53" s="326"/>
      <c r="AL53" s="326"/>
      <c r="AM53" s="326"/>
    </row>
    <row r="54" spans="1:42" ht="15" customHeight="1" outlineLevel="1" x14ac:dyDescent="0.2">
      <c r="A54" s="269" t="s">
        <v>302</v>
      </c>
      <c r="B54" s="308">
        <v>14</v>
      </c>
      <c r="C54" s="308">
        <v>0</v>
      </c>
      <c r="D54" s="308">
        <v>2</v>
      </c>
      <c r="E54" s="308">
        <v>0</v>
      </c>
      <c r="F54" s="308">
        <v>0</v>
      </c>
      <c r="G54" s="308">
        <v>0</v>
      </c>
      <c r="H54" s="308">
        <v>0</v>
      </c>
      <c r="I54" s="308">
        <v>0</v>
      </c>
      <c r="J54" s="308">
        <v>0</v>
      </c>
      <c r="K54" s="27">
        <v>0</v>
      </c>
      <c r="L54" s="27">
        <v>0</v>
      </c>
      <c r="M54" s="27">
        <v>0</v>
      </c>
      <c r="N54" s="27">
        <v>0</v>
      </c>
      <c r="O54" s="27">
        <v>0</v>
      </c>
      <c r="P54" s="27">
        <v>0</v>
      </c>
      <c r="Q54" s="308">
        <v>0</v>
      </c>
      <c r="R54" s="308">
        <v>0</v>
      </c>
      <c r="S54" s="308">
        <v>0</v>
      </c>
      <c r="T54" s="308">
        <v>0</v>
      </c>
      <c r="U54" s="308">
        <v>0</v>
      </c>
      <c r="V54" s="326"/>
      <c r="W54" s="326"/>
      <c r="X54" s="326"/>
      <c r="Y54" s="326"/>
      <c r="Z54" s="326"/>
      <c r="AA54" s="326"/>
      <c r="AB54" s="326"/>
      <c r="AC54" s="326"/>
      <c r="AD54" s="326"/>
      <c r="AE54" s="326"/>
      <c r="AF54" s="22"/>
      <c r="AH54" s="326"/>
      <c r="AI54" s="326"/>
      <c r="AJ54" s="326"/>
      <c r="AK54" s="326"/>
      <c r="AL54" s="326"/>
      <c r="AM54" s="326"/>
    </row>
    <row r="55" spans="1:42" ht="15" customHeight="1" outlineLevel="1" x14ac:dyDescent="0.2">
      <c r="A55" s="269" t="s">
        <v>340</v>
      </c>
      <c r="B55" s="308">
        <v>26</v>
      </c>
      <c r="C55" s="308">
        <v>0</v>
      </c>
      <c r="D55" s="308">
        <v>0</v>
      </c>
      <c r="E55" s="308">
        <v>0</v>
      </c>
      <c r="F55" s="308">
        <v>0</v>
      </c>
      <c r="G55" s="308">
        <v>0</v>
      </c>
      <c r="H55" s="308">
        <v>0</v>
      </c>
      <c r="I55" s="308">
        <v>0</v>
      </c>
      <c r="J55" s="308">
        <v>0</v>
      </c>
      <c r="K55" s="308">
        <v>0</v>
      </c>
      <c r="L55" s="308">
        <v>0</v>
      </c>
      <c r="M55" s="308">
        <v>0</v>
      </c>
      <c r="N55" s="308">
        <v>10</v>
      </c>
      <c r="O55" s="308">
        <v>0</v>
      </c>
      <c r="P55" s="308">
        <v>0</v>
      </c>
      <c r="Q55" s="308">
        <v>0</v>
      </c>
      <c r="R55" s="308">
        <v>0</v>
      </c>
      <c r="S55" s="308">
        <v>0</v>
      </c>
      <c r="T55" s="308">
        <v>0</v>
      </c>
      <c r="U55" s="308">
        <v>0</v>
      </c>
      <c r="V55" s="326"/>
      <c r="W55" s="326"/>
      <c r="X55" s="326"/>
      <c r="Y55" s="326"/>
      <c r="Z55" s="326"/>
      <c r="AA55" s="326"/>
      <c r="AB55" s="326"/>
      <c r="AC55" s="326"/>
      <c r="AD55" s="326"/>
      <c r="AE55" s="326"/>
      <c r="AF55" s="22"/>
      <c r="AH55" s="326"/>
      <c r="AI55" s="326"/>
      <c r="AJ55" s="326"/>
      <c r="AK55" s="326"/>
      <c r="AL55" s="326"/>
      <c r="AM55" s="326"/>
    </row>
    <row r="56" spans="1:42" ht="15" customHeight="1" outlineLevel="1" x14ac:dyDescent="0.2">
      <c r="A56" s="269" t="s">
        <v>301</v>
      </c>
      <c r="B56" s="308">
        <v>42</v>
      </c>
      <c r="C56" s="308">
        <v>0</v>
      </c>
      <c r="D56" s="308">
        <v>3</v>
      </c>
      <c r="E56" s="308">
        <v>0</v>
      </c>
      <c r="F56" s="308">
        <v>2</v>
      </c>
      <c r="G56" s="308">
        <v>0</v>
      </c>
      <c r="H56" s="308">
        <v>1</v>
      </c>
      <c r="I56" s="308">
        <v>0</v>
      </c>
      <c r="J56" s="308">
        <v>12</v>
      </c>
      <c r="K56" s="27">
        <v>0</v>
      </c>
      <c r="L56" s="27">
        <v>3</v>
      </c>
      <c r="M56" s="27">
        <v>14</v>
      </c>
      <c r="N56" s="27">
        <v>5</v>
      </c>
      <c r="O56" s="27">
        <v>0</v>
      </c>
      <c r="P56" s="27">
        <v>0</v>
      </c>
      <c r="Q56" s="308">
        <v>0</v>
      </c>
      <c r="R56" s="308">
        <v>0</v>
      </c>
      <c r="S56" s="308">
        <v>0</v>
      </c>
      <c r="T56" s="308">
        <v>0</v>
      </c>
      <c r="U56" s="308">
        <v>0</v>
      </c>
      <c r="V56" s="326"/>
      <c r="W56" s="326"/>
      <c r="X56" s="326"/>
      <c r="Y56" s="326"/>
      <c r="Z56" s="326"/>
      <c r="AA56" s="326"/>
      <c r="AB56" s="326"/>
      <c r="AC56" s="326"/>
      <c r="AD56" s="326"/>
      <c r="AE56" s="326"/>
      <c r="AF56" s="22"/>
      <c r="AH56" s="326"/>
      <c r="AI56" s="326"/>
      <c r="AJ56" s="326"/>
      <c r="AK56" s="326"/>
      <c r="AL56" s="326"/>
      <c r="AM56" s="326"/>
    </row>
    <row r="57" spans="1:42" ht="15" customHeight="1" x14ac:dyDescent="0.2">
      <c r="A57" s="68" t="s">
        <v>300</v>
      </c>
      <c r="B57" s="122">
        <v>-468</v>
      </c>
      <c r="C57" s="122">
        <v>-1802</v>
      </c>
      <c r="D57" s="122">
        <v>-1443</v>
      </c>
      <c r="E57" s="122">
        <v>-1222</v>
      </c>
      <c r="F57" s="122">
        <v>-1876</v>
      </c>
      <c r="G57" s="122">
        <v>-1275</v>
      </c>
      <c r="H57" s="122">
        <v>-2914</v>
      </c>
      <c r="I57" s="122">
        <v>-842</v>
      </c>
      <c r="J57" s="122">
        <v>-1738</v>
      </c>
      <c r="K57" s="122">
        <v>-452</v>
      </c>
      <c r="L57" s="122">
        <v>-1222</v>
      </c>
      <c r="M57" s="122">
        <v>-381</v>
      </c>
      <c r="N57" s="122">
        <v>-1300</v>
      </c>
      <c r="O57" s="122">
        <v>-905</v>
      </c>
      <c r="P57" s="122">
        <v>-1920</v>
      </c>
      <c r="Q57" s="122">
        <v>-655</v>
      </c>
      <c r="R57" s="122">
        <v>-1936</v>
      </c>
      <c r="S57" s="427">
        <v>-543</v>
      </c>
      <c r="T57" s="122">
        <v>-1562</v>
      </c>
      <c r="U57" s="122">
        <v>-381</v>
      </c>
      <c r="V57" s="331">
        <v>2.0833333333333335</v>
      </c>
      <c r="W57" s="331">
        <v>-0.32186459489456165</v>
      </c>
      <c r="X57" s="331">
        <v>0.30006930006929999</v>
      </c>
      <c r="Y57" s="331">
        <v>4.3371522094926451E-2</v>
      </c>
      <c r="Z57" s="331">
        <v>0.55330490405117261</v>
      </c>
      <c r="AA57" s="331">
        <v>-0.33960784313725489</v>
      </c>
      <c r="AB57" s="331">
        <v>-0.40356897735072061</v>
      </c>
      <c r="AC57" s="331">
        <v>-0.46318289786223277</v>
      </c>
      <c r="AD57" s="331">
        <v>-0.29689298043728418</v>
      </c>
      <c r="AE57" s="331">
        <v>-0.15707964601769908</v>
      </c>
      <c r="AF57" s="215">
        <v>6.3829787234042534E-2</v>
      </c>
      <c r="AG57" s="215">
        <v>1.3753280839895012</v>
      </c>
      <c r="AH57" s="331">
        <v>0.47692307692307701</v>
      </c>
      <c r="AI57" s="331">
        <v>-0.2718232044198895</v>
      </c>
      <c r="AJ57" s="331">
        <v>8.3333333333333037E-3</v>
      </c>
      <c r="AK57" s="119">
        <v>-0.17099236641221371</v>
      </c>
      <c r="AL57" s="29">
        <v>-0.19318181818181823</v>
      </c>
      <c r="AM57" s="29">
        <v>-0.2983425414364641</v>
      </c>
    </row>
    <row r="58" spans="1:42" ht="15" customHeight="1" x14ac:dyDescent="0.2">
      <c r="A58" s="52"/>
      <c r="B58" s="203"/>
      <c r="C58" s="203"/>
      <c r="D58" s="202"/>
      <c r="E58" s="202"/>
      <c r="F58" s="202"/>
      <c r="G58" s="202"/>
      <c r="H58" s="202"/>
      <c r="I58" s="202"/>
      <c r="J58" s="202"/>
      <c r="K58" s="203"/>
      <c r="L58" s="203"/>
      <c r="M58" s="203"/>
      <c r="N58" s="203"/>
      <c r="O58" s="203"/>
      <c r="P58" s="203"/>
      <c r="Q58" s="202"/>
      <c r="R58" s="202"/>
      <c r="S58" s="202"/>
      <c r="T58" s="202"/>
      <c r="U58" s="202"/>
      <c r="V58" s="326"/>
      <c r="W58" s="326"/>
      <c r="X58" s="326"/>
      <c r="Y58" s="326"/>
      <c r="Z58" s="326"/>
      <c r="AA58" s="326"/>
      <c r="AB58" s="326"/>
      <c r="AC58" s="326"/>
      <c r="AD58" s="326"/>
      <c r="AE58" s="326"/>
      <c r="AF58" s="22"/>
      <c r="AH58" s="326"/>
      <c r="AI58" s="326"/>
      <c r="AJ58" s="326"/>
      <c r="AK58" s="326"/>
      <c r="AL58" s="326"/>
      <c r="AM58" s="326"/>
    </row>
    <row r="59" spans="1:42" ht="15" customHeight="1" x14ac:dyDescent="0.2">
      <c r="A59" s="68" t="s">
        <v>299</v>
      </c>
      <c r="B59" s="221"/>
      <c r="C59" s="221"/>
      <c r="D59" s="308"/>
      <c r="E59" s="308"/>
      <c r="F59" s="308"/>
      <c r="G59" s="308"/>
      <c r="H59" s="308"/>
      <c r="I59" s="308"/>
      <c r="J59" s="308"/>
      <c r="K59" s="27"/>
      <c r="L59" s="27"/>
      <c r="M59" s="27"/>
      <c r="N59" s="27"/>
      <c r="O59" s="27"/>
      <c r="P59" s="27"/>
      <c r="Q59" s="308"/>
      <c r="R59" s="308"/>
      <c r="S59" s="308"/>
      <c r="T59" s="308"/>
      <c r="U59" s="308"/>
      <c r="V59" s="326"/>
      <c r="W59" s="326"/>
      <c r="X59" s="326"/>
      <c r="Y59" s="326"/>
      <c r="Z59" s="326"/>
      <c r="AA59" s="326"/>
      <c r="AB59" s="326"/>
      <c r="AC59" s="326"/>
      <c r="AD59" s="326"/>
      <c r="AE59" s="326"/>
      <c r="AF59" s="22"/>
      <c r="AH59" s="326"/>
      <c r="AI59" s="326"/>
      <c r="AJ59" s="326"/>
      <c r="AK59" s="326"/>
      <c r="AL59" s="326"/>
      <c r="AM59" s="326"/>
    </row>
    <row r="60" spans="1:42" ht="15" customHeight="1" outlineLevel="1" x14ac:dyDescent="0.2">
      <c r="A60" s="134" t="s">
        <v>298</v>
      </c>
      <c r="B60" s="308">
        <v>113</v>
      </c>
      <c r="C60" s="308">
        <v>145</v>
      </c>
      <c r="D60" s="308">
        <v>628</v>
      </c>
      <c r="E60" s="308">
        <v>379</v>
      </c>
      <c r="F60" s="308">
        <v>3694</v>
      </c>
      <c r="G60" s="308">
        <v>467</v>
      </c>
      <c r="H60" s="308">
        <v>2478</v>
      </c>
      <c r="I60" s="308">
        <v>4464</v>
      </c>
      <c r="J60" s="308">
        <v>6001</v>
      </c>
      <c r="K60" s="27">
        <v>928</v>
      </c>
      <c r="L60" s="27">
        <v>1916</v>
      </c>
      <c r="M60" s="27">
        <v>400</v>
      </c>
      <c r="N60" s="27">
        <v>3192</v>
      </c>
      <c r="O60" s="27">
        <v>651</v>
      </c>
      <c r="P60" s="27">
        <v>936</v>
      </c>
      <c r="Q60" s="308">
        <v>1655</v>
      </c>
      <c r="R60" s="308">
        <v>4233</v>
      </c>
      <c r="S60" s="308">
        <v>1210</v>
      </c>
      <c r="T60" s="308">
        <v>2173</v>
      </c>
      <c r="U60" s="308">
        <v>727</v>
      </c>
      <c r="V60" s="326"/>
      <c r="W60" s="326"/>
      <c r="X60" s="326"/>
      <c r="Y60" s="326"/>
      <c r="Z60" s="326"/>
      <c r="AA60" s="326"/>
      <c r="AB60" s="326"/>
      <c r="AC60" s="326"/>
      <c r="AD60" s="326"/>
      <c r="AE60" s="326"/>
      <c r="AF60" s="22"/>
      <c r="AH60" s="326"/>
      <c r="AI60" s="326"/>
      <c r="AJ60" s="326"/>
      <c r="AK60" s="326"/>
      <c r="AL60" s="326"/>
      <c r="AM60" s="326"/>
    </row>
    <row r="61" spans="1:42" ht="15" customHeight="1" outlineLevel="1" x14ac:dyDescent="0.2">
      <c r="A61" s="134" t="s">
        <v>353</v>
      </c>
      <c r="B61" s="308">
        <v>-1193</v>
      </c>
      <c r="C61" s="308">
        <v>-2092</v>
      </c>
      <c r="D61" s="308">
        <v>-3048</v>
      </c>
      <c r="E61" s="308">
        <v>-902</v>
      </c>
      <c r="F61" s="308">
        <v>-1351</v>
      </c>
      <c r="G61" s="308">
        <v>-1487</v>
      </c>
      <c r="H61" s="308">
        <v>-2666</v>
      </c>
      <c r="I61" s="308">
        <v>-2496</v>
      </c>
      <c r="J61" s="308">
        <v>-4759</v>
      </c>
      <c r="K61" s="27">
        <v>-1038</v>
      </c>
      <c r="L61" s="27">
        <v>-1343</v>
      </c>
      <c r="M61" s="27">
        <v>-332</v>
      </c>
      <c r="N61" s="27">
        <v>-727</v>
      </c>
      <c r="O61" s="27">
        <v>-1013</v>
      </c>
      <c r="P61" s="27">
        <v>-1741</v>
      </c>
      <c r="Q61" s="308">
        <v>-1344</v>
      </c>
      <c r="R61" s="308">
        <v>-3140</v>
      </c>
      <c r="S61" s="308">
        <v>-879</v>
      </c>
      <c r="T61" s="308">
        <v>-2547</v>
      </c>
      <c r="U61" s="308">
        <v>-639</v>
      </c>
      <c r="V61" s="326"/>
      <c r="W61" s="326"/>
      <c r="X61" s="326"/>
      <c r="Y61" s="326"/>
      <c r="Z61" s="326"/>
      <c r="AA61" s="326"/>
      <c r="AB61" s="326"/>
      <c r="AC61" s="326"/>
      <c r="AD61" s="326"/>
      <c r="AE61" s="326"/>
      <c r="AF61" s="22"/>
      <c r="AH61" s="326"/>
      <c r="AI61" s="326"/>
      <c r="AJ61" s="326"/>
      <c r="AK61" s="326"/>
      <c r="AL61" s="326"/>
      <c r="AM61" s="326"/>
    </row>
    <row r="62" spans="1:42" ht="15" customHeight="1" outlineLevel="1" x14ac:dyDescent="0.2">
      <c r="A62" s="134" t="s">
        <v>596</v>
      </c>
      <c r="B62" s="308"/>
      <c r="C62" s="308"/>
      <c r="D62" s="308"/>
      <c r="E62" s="308"/>
      <c r="F62" s="308"/>
      <c r="G62" s="308"/>
      <c r="H62" s="308"/>
      <c r="I62" s="308"/>
      <c r="J62" s="308"/>
      <c r="K62" s="27"/>
      <c r="L62" s="27"/>
      <c r="M62" s="27">
        <v>0</v>
      </c>
      <c r="N62" s="27">
        <v>-1</v>
      </c>
      <c r="O62" s="27">
        <v>-4</v>
      </c>
      <c r="P62" s="27">
        <v>-5</v>
      </c>
      <c r="Q62" s="308">
        <v>-6</v>
      </c>
      <c r="R62" s="308">
        <v>-10</v>
      </c>
      <c r="S62" s="308">
        <v>-5</v>
      </c>
      <c r="T62" s="308">
        <v>-9</v>
      </c>
      <c r="U62" s="308">
        <v>-24</v>
      </c>
      <c r="V62" s="326"/>
      <c r="W62" s="326"/>
      <c r="X62" s="326"/>
      <c r="Y62" s="326"/>
      <c r="Z62" s="326"/>
      <c r="AA62" s="326"/>
      <c r="AB62" s="326"/>
      <c r="AC62" s="326"/>
      <c r="AD62" s="326"/>
      <c r="AE62" s="326"/>
      <c r="AF62" s="22"/>
      <c r="AH62" s="326"/>
      <c r="AI62" s="326"/>
      <c r="AJ62" s="326"/>
      <c r="AK62" s="326"/>
      <c r="AL62" s="326"/>
      <c r="AM62" s="326"/>
      <c r="AP62" s="43"/>
    </row>
    <row r="63" spans="1:42" ht="15" customHeight="1" outlineLevel="1" x14ac:dyDescent="0.2">
      <c r="A63" s="134" t="s">
        <v>297</v>
      </c>
      <c r="B63" s="308">
        <v>-26</v>
      </c>
      <c r="C63" s="308">
        <v>0</v>
      </c>
      <c r="D63" s="308">
        <v>0</v>
      </c>
      <c r="E63" s="308">
        <v>-3825</v>
      </c>
      <c r="F63" s="308">
        <v>-8995</v>
      </c>
      <c r="G63" s="308">
        <v>0</v>
      </c>
      <c r="H63" s="308">
        <v>0</v>
      </c>
      <c r="I63" s="308">
        <v>0</v>
      </c>
      <c r="J63" s="308">
        <v>0</v>
      </c>
      <c r="K63" s="27">
        <v>0</v>
      </c>
      <c r="L63" s="27">
        <v>0</v>
      </c>
      <c r="M63" s="27">
        <v>0</v>
      </c>
      <c r="N63" s="27"/>
      <c r="O63" s="27"/>
      <c r="P63" s="27"/>
      <c r="Q63" s="308"/>
      <c r="R63" s="308"/>
      <c r="S63" s="308"/>
      <c r="T63" s="308"/>
      <c r="U63" s="308"/>
      <c r="V63" s="326"/>
      <c r="W63" s="326"/>
      <c r="X63" s="326"/>
      <c r="Y63" s="326"/>
      <c r="Z63" s="326"/>
      <c r="AA63" s="326"/>
      <c r="AB63" s="326"/>
      <c r="AC63" s="326"/>
      <c r="AD63" s="326"/>
      <c r="AE63" s="326"/>
      <c r="AF63" s="22"/>
      <c r="AH63" s="326"/>
      <c r="AI63" s="326"/>
      <c r="AJ63" s="326"/>
      <c r="AK63" s="326"/>
      <c r="AL63" s="326"/>
      <c r="AM63" s="326"/>
      <c r="AP63" s="43"/>
    </row>
    <row r="64" spans="1:42" ht="15" customHeight="1" outlineLevel="1" x14ac:dyDescent="0.2">
      <c r="A64" s="324" t="s">
        <v>296</v>
      </c>
      <c r="B64" s="308">
        <v>-3</v>
      </c>
      <c r="C64" s="308">
        <v>0</v>
      </c>
      <c r="D64" s="308">
        <v>0</v>
      </c>
      <c r="E64" s="308">
        <v>0</v>
      </c>
      <c r="F64" s="308">
        <v>0</v>
      </c>
      <c r="G64" s="308">
        <v>0</v>
      </c>
      <c r="H64" s="308">
        <v>0</v>
      </c>
      <c r="I64" s="308">
        <v>0</v>
      </c>
      <c r="J64" s="308">
        <v>0</v>
      </c>
      <c r="K64" s="308">
        <v>0</v>
      </c>
      <c r="L64" s="27">
        <v>0</v>
      </c>
      <c r="M64" s="27">
        <v>0</v>
      </c>
      <c r="N64" s="27"/>
      <c r="O64" s="27"/>
      <c r="P64" s="27"/>
      <c r="Q64" s="308"/>
      <c r="R64" s="308"/>
      <c r="S64" s="308"/>
      <c r="T64" s="308"/>
      <c r="U64" s="308"/>
      <c r="V64" s="326"/>
      <c r="W64" s="326"/>
      <c r="X64" s="326"/>
      <c r="Y64" s="326"/>
      <c r="Z64" s="326"/>
      <c r="AA64" s="326"/>
      <c r="AB64" s="326"/>
      <c r="AC64" s="326"/>
      <c r="AD64" s="326"/>
      <c r="AE64" s="326"/>
      <c r="AF64" s="22"/>
      <c r="AH64" s="326"/>
      <c r="AI64" s="326"/>
      <c r="AJ64" s="326"/>
      <c r="AK64" s="326"/>
      <c r="AL64" s="326"/>
      <c r="AM64" s="326"/>
      <c r="AP64" s="43"/>
    </row>
    <row r="65" spans="1:42" ht="25.5" outlineLevel="1" x14ac:dyDescent="0.2">
      <c r="A65" s="134" t="s">
        <v>295</v>
      </c>
      <c r="B65" s="308">
        <v>-78</v>
      </c>
      <c r="C65" s="308">
        <v>-102</v>
      </c>
      <c r="D65" s="308">
        <v>-102</v>
      </c>
      <c r="E65" s="308">
        <v>0</v>
      </c>
      <c r="F65" s="308">
        <v>0</v>
      </c>
      <c r="G65" s="308">
        <v>0</v>
      </c>
      <c r="H65" s="308">
        <v>0</v>
      </c>
      <c r="I65" s="308">
        <v>0</v>
      </c>
      <c r="J65" s="308">
        <v>0</v>
      </c>
      <c r="K65" s="27">
        <v>0</v>
      </c>
      <c r="L65" s="27">
        <v>0</v>
      </c>
      <c r="M65" s="27">
        <v>0</v>
      </c>
      <c r="N65" s="27"/>
      <c r="O65" s="27"/>
      <c r="P65" s="27"/>
      <c r="Q65" s="308"/>
      <c r="R65" s="308"/>
      <c r="S65" s="308"/>
      <c r="T65" s="308"/>
      <c r="U65" s="308"/>
      <c r="V65" s="326"/>
      <c r="W65" s="326"/>
      <c r="X65" s="326"/>
      <c r="Y65" s="326"/>
      <c r="Z65" s="326"/>
      <c r="AA65" s="326"/>
      <c r="AB65" s="326"/>
      <c r="AC65" s="326"/>
      <c r="AD65" s="326"/>
      <c r="AE65" s="326"/>
      <c r="AF65" s="22"/>
      <c r="AH65" s="326"/>
      <c r="AI65" s="326"/>
      <c r="AJ65" s="326"/>
      <c r="AK65" s="326"/>
      <c r="AL65" s="326"/>
      <c r="AM65" s="326"/>
      <c r="AP65" s="43"/>
    </row>
    <row r="66" spans="1:42" ht="15" customHeight="1" outlineLevel="1" x14ac:dyDescent="0.2">
      <c r="A66" s="134" t="s">
        <v>294</v>
      </c>
      <c r="B66" s="308">
        <v>0</v>
      </c>
      <c r="C66" s="308">
        <v>111</v>
      </c>
      <c r="D66" s="308">
        <v>1705</v>
      </c>
      <c r="E66" s="308">
        <v>1246</v>
      </c>
      <c r="F66" s="308">
        <v>1246</v>
      </c>
      <c r="G66" s="308">
        <v>0</v>
      </c>
      <c r="H66" s="308">
        <v>0</v>
      </c>
      <c r="I66" s="308">
        <v>2</v>
      </c>
      <c r="J66" s="308">
        <v>1</v>
      </c>
      <c r="K66" s="27">
        <v>0</v>
      </c>
      <c r="L66" s="27">
        <v>0</v>
      </c>
      <c r="M66" s="27">
        <v>0</v>
      </c>
      <c r="N66" s="27"/>
      <c r="O66" s="27"/>
      <c r="P66" s="27"/>
      <c r="Q66" s="308"/>
      <c r="R66" s="308"/>
      <c r="S66" s="308"/>
      <c r="T66" s="308"/>
      <c r="U66" s="308"/>
      <c r="V66" s="326"/>
      <c r="W66" s="326"/>
      <c r="X66" s="326"/>
      <c r="Y66" s="326"/>
      <c r="Z66" s="326"/>
      <c r="AA66" s="326"/>
      <c r="AB66" s="326"/>
      <c r="AC66" s="326"/>
      <c r="AD66" s="326"/>
      <c r="AE66" s="326"/>
      <c r="AF66" s="22"/>
      <c r="AH66" s="326"/>
      <c r="AI66" s="326"/>
      <c r="AJ66" s="326"/>
      <c r="AK66" s="326"/>
      <c r="AL66" s="326"/>
      <c r="AM66" s="326"/>
      <c r="AN66" s="332"/>
      <c r="AP66" s="43"/>
    </row>
    <row r="67" spans="1:42" ht="15" customHeight="1" outlineLevel="1" x14ac:dyDescent="0.2">
      <c r="A67" s="134" t="s">
        <v>293</v>
      </c>
      <c r="B67" s="308">
        <v>0</v>
      </c>
      <c r="C67" s="308">
        <v>0</v>
      </c>
      <c r="D67" s="308">
        <v>0</v>
      </c>
      <c r="E67" s="308">
        <v>0</v>
      </c>
      <c r="F67" s="308">
        <v>0</v>
      </c>
      <c r="G67" s="308">
        <v>0</v>
      </c>
      <c r="H67" s="308">
        <v>0</v>
      </c>
      <c r="I67" s="308">
        <v>-76</v>
      </c>
      <c r="J67" s="308">
        <v>-229</v>
      </c>
      <c r="K67" s="27">
        <v>-129</v>
      </c>
      <c r="L67" s="27">
        <v>-259</v>
      </c>
      <c r="M67" s="27">
        <v>-143</v>
      </c>
      <c r="N67" s="27">
        <v>-376</v>
      </c>
      <c r="O67" s="27">
        <v>-285</v>
      </c>
      <c r="P67" s="27">
        <v>-591</v>
      </c>
      <c r="Q67" s="308">
        <v>-310</v>
      </c>
      <c r="R67" s="308">
        <v>-642</v>
      </c>
      <c r="S67" s="308">
        <v>-264</v>
      </c>
      <c r="T67" s="308">
        <v>-551</v>
      </c>
      <c r="U67" s="308">
        <v>-202</v>
      </c>
      <c r="V67" s="326"/>
      <c r="W67" s="326"/>
      <c r="X67" s="326"/>
      <c r="Y67" s="326"/>
      <c r="Z67" s="326"/>
      <c r="AA67" s="326"/>
      <c r="AB67" s="326"/>
      <c r="AC67" s="326"/>
      <c r="AD67" s="326"/>
      <c r="AE67" s="326"/>
      <c r="AF67" s="22"/>
      <c r="AH67" s="326"/>
      <c r="AI67" s="326"/>
      <c r="AJ67" s="326"/>
      <c r="AK67" s="326"/>
      <c r="AL67" s="326"/>
      <c r="AM67" s="326"/>
      <c r="AN67" s="332"/>
      <c r="AP67" s="43"/>
    </row>
    <row r="68" spans="1:42" ht="15" customHeight="1" outlineLevel="1" x14ac:dyDescent="0.2">
      <c r="A68" s="134" t="s">
        <v>482</v>
      </c>
      <c r="B68" s="308"/>
      <c r="C68" s="308"/>
      <c r="D68" s="308"/>
      <c r="E68" s="308"/>
      <c r="F68" s="308"/>
      <c r="G68" s="308"/>
      <c r="H68" s="308"/>
      <c r="I68" s="308"/>
      <c r="J68" s="308"/>
      <c r="K68" s="27"/>
      <c r="L68" s="27"/>
      <c r="M68" s="27">
        <v>-2</v>
      </c>
      <c r="N68" s="27">
        <v>-196</v>
      </c>
      <c r="O68" s="27">
        <v>0</v>
      </c>
      <c r="P68" s="27">
        <v>0</v>
      </c>
      <c r="Q68" s="308">
        <v>0</v>
      </c>
      <c r="R68" s="308">
        <v>0</v>
      </c>
      <c r="S68" s="308">
        <v>0</v>
      </c>
      <c r="T68" s="308">
        <v>0</v>
      </c>
      <c r="U68" s="308">
        <v>0</v>
      </c>
      <c r="V68" s="326"/>
      <c r="W68" s="326"/>
      <c r="X68" s="326"/>
      <c r="Y68" s="326"/>
      <c r="Z68" s="326"/>
      <c r="AA68" s="326"/>
      <c r="AB68" s="326"/>
      <c r="AC68" s="326"/>
      <c r="AD68" s="326"/>
      <c r="AE68" s="326"/>
      <c r="AF68" s="22"/>
      <c r="AH68" s="326"/>
      <c r="AI68" s="326"/>
      <c r="AJ68" s="326"/>
      <c r="AK68" s="326"/>
      <c r="AL68" s="326"/>
      <c r="AM68" s="326"/>
      <c r="AP68" s="43"/>
    </row>
    <row r="69" spans="1:42" ht="15" customHeight="1" outlineLevel="1" x14ac:dyDescent="0.2">
      <c r="A69" s="134" t="s">
        <v>355</v>
      </c>
      <c r="B69" s="308"/>
      <c r="C69" s="308"/>
      <c r="D69" s="308"/>
      <c r="E69" s="308"/>
      <c r="F69" s="308"/>
      <c r="G69" s="308"/>
      <c r="H69" s="308"/>
      <c r="I69" s="308"/>
      <c r="J69" s="308"/>
      <c r="K69" s="27"/>
      <c r="L69" s="27"/>
      <c r="M69" s="27">
        <v>0</v>
      </c>
      <c r="N69" s="27"/>
      <c r="O69" s="27">
        <v>79</v>
      </c>
      <c r="Q69" s="384"/>
      <c r="R69" s="384"/>
      <c r="S69" s="384">
        <v>0</v>
      </c>
      <c r="T69" s="384">
        <v>0</v>
      </c>
      <c r="U69" s="384">
        <v>0</v>
      </c>
      <c r="V69" s="326"/>
      <c r="W69" s="326"/>
      <c r="X69" s="326"/>
      <c r="Y69" s="326"/>
      <c r="Z69" s="326"/>
      <c r="AA69" s="326"/>
      <c r="AB69" s="326"/>
      <c r="AC69" s="326"/>
      <c r="AD69" s="326"/>
      <c r="AE69" s="326"/>
      <c r="AF69" s="22"/>
      <c r="AH69" s="326"/>
      <c r="AI69" s="326"/>
      <c r="AJ69" s="326"/>
      <c r="AK69" s="326"/>
      <c r="AL69" s="326"/>
      <c r="AM69" s="326"/>
      <c r="AP69" s="43"/>
    </row>
    <row r="70" spans="1:42" ht="15" customHeight="1" outlineLevel="1" x14ac:dyDescent="0.2">
      <c r="A70" s="134" t="s">
        <v>398</v>
      </c>
      <c r="B70" s="308"/>
      <c r="C70" s="308"/>
      <c r="D70" s="308"/>
      <c r="E70" s="308"/>
      <c r="F70" s="308"/>
      <c r="G70" s="308"/>
      <c r="H70" s="308"/>
      <c r="I70" s="308"/>
      <c r="J70" s="308"/>
      <c r="K70" s="27"/>
      <c r="L70" s="27"/>
      <c r="M70" s="27"/>
      <c r="N70" s="27"/>
      <c r="O70" s="27"/>
      <c r="P70" s="27">
        <v>154</v>
      </c>
      <c r="Q70" s="308">
        <v>0</v>
      </c>
      <c r="R70" s="308">
        <v>0</v>
      </c>
      <c r="S70" s="308">
        <v>0</v>
      </c>
      <c r="T70" s="308">
        <v>0</v>
      </c>
      <c r="U70" s="308">
        <v>0</v>
      </c>
      <c r="V70" s="326"/>
      <c r="W70" s="326"/>
      <c r="X70" s="326"/>
      <c r="Y70" s="326"/>
      <c r="Z70" s="326"/>
      <c r="AA70" s="326"/>
      <c r="AB70" s="326"/>
      <c r="AC70" s="326"/>
      <c r="AD70" s="326"/>
      <c r="AE70" s="326"/>
      <c r="AF70" s="22"/>
      <c r="AH70" s="326"/>
      <c r="AI70" s="326"/>
      <c r="AJ70" s="326"/>
      <c r="AK70" s="326"/>
      <c r="AL70" s="326"/>
      <c r="AM70" s="326"/>
      <c r="AP70" s="43"/>
    </row>
    <row r="71" spans="1:42" ht="15" customHeight="1" outlineLevel="1" x14ac:dyDescent="0.2">
      <c r="A71" s="134" t="s">
        <v>354</v>
      </c>
      <c r="B71" s="308">
        <v>0</v>
      </c>
      <c r="C71" s="308">
        <v>0</v>
      </c>
      <c r="D71" s="308">
        <v>-1208</v>
      </c>
      <c r="E71" s="308">
        <v>0</v>
      </c>
      <c r="F71" s="308">
        <v>-1234</v>
      </c>
      <c r="G71" s="308">
        <v>-1</v>
      </c>
      <c r="H71" s="308">
        <v>-960</v>
      </c>
      <c r="I71" s="308">
        <v>-1914</v>
      </c>
      <c r="J71" s="308">
        <v>-2989</v>
      </c>
      <c r="K71" s="27">
        <v>-1112</v>
      </c>
      <c r="L71" s="27">
        <v>-3281</v>
      </c>
      <c r="M71" s="27">
        <v>-2126</v>
      </c>
      <c r="N71" s="27">
        <v>-2859</v>
      </c>
      <c r="O71" s="27">
        <v>-665</v>
      </c>
      <c r="P71" s="27">
        <v>-1232</v>
      </c>
      <c r="Q71" s="308">
        <v>-1172</v>
      </c>
      <c r="R71" s="308">
        <v>-2971</v>
      </c>
      <c r="S71" s="308">
        <v>-1</v>
      </c>
      <c r="T71" s="308">
        <v>-3369</v>
      </c>
      <c r="U71" s="308">
        <v>-1</v>
      </c>
      <c r="V71" s="326"/>
      <c r="W71" s="326"/>
      <c r="X71" s="326"/>
      <c r="Y71" s="326"/>
      <c r="Z71" s="326"/>
      <c r="AA71" s="326"/>
      <c r="AB71" s="326"/>
      <c r="AC71" s="326"/>
      <c r="AD71" s="326"/>
      <c r="AE71" s="326"/>
      <c r="AF71" s="22"/>
      <c r="AH71" s="326"/>
      <c r="AI71" s="326"/>
      <c r="AJ71" s="326"/>
      <c r="AK71" s="326"/>
      <c r="AL71" s="326"/>
      <c r="AM71" s="326"/>
      <c r="AP71" s="43"/>
    </row>
    <row r="72" spans="1:42" ht="15" customHeight="1" outlineLevel="1" x14ac:dyDescent="0.2">
      <c r="A72" s="324" t="s">
        <v>399</v>
      </c>
      <c r="B72" s="308"/>
      <c r="C72" s="308"/>
      <c r="D72" s="308"/>
      <c r="E72" s="308"/>
      <c r="F72" s="308"/>
      <c r="G72" s="308"/>
      <c r="H72" s="308"/>
      <c r="I72" s="308"/>
      <c r="J72" s="308"/>
      <c r="K72" s="27"/>
      <c r="L72" s="27"/>
      <c r="M72" s="27"/>
      <c r="N72" s="27"/>
      <c r="O72" s="27"/>
      <c r="P72" s="27">
        <v>80</v>
      </c>
      <c r="Q72" s="308">
        <v>21</v>
      </c>
      <c r="R72" s="308">
        <v>294</v>
      </c>
      <c r="S72" s="308">
        <v>0</v>
      </c>
      <c r="T72" s="308">
        <v>0</v>
      </c>
      <c r="U72" s="308">
        <v>0</v>
      </c>
      <c r="V72" s="326"/>
      <c r="W72" s="326"/>
      <c r="X72" s="326"/>
      <c r="Y72" s="326"/>
      <c r="Z72" s="326"/>
      <c r="AA72" s="326"/>
      <c r="AB72" s="326"/>
      <c r="AC72" s="326"/>
      <c r="AD72" s="326"/>
      <c r="AE72" s="326"/>
      <c r="AF72" s="22"/>
      <c r="AH72" s="326"/>
      <c r="AI72" s="326"/>
      <c r="AJ72" s="326"/>
      <c r="AK72" s="326"/>
      <c r="AL72" s="326"/>
      <c r="AM72" s="326"/>
      <c r="AP72" s="43"/>
    </row>
    <row r="73" spans="1:42" ht="15" customHeight="1" outlineLevel="1" x14ac:dyDescent="0.2">
      <c r="A73" s="324" t="s">
        <v>375</v>
      </c>
      <c r="B73" s="308">
        <v>0</v>
      </c>
      <c r="C73" s="308">
        <v>0</v>
      </c>
      <c r="D73" s="308">
        <v>0</v>
      </c>
      <c r="E73" s="308">
        <v>0</v>
      </c>
      <c r="F73" s="308">
        <v>0</v>
      </c>
      <c r="G73" s="308">
        <v>0</v>
      </c>
      <c r="H73" s="308">
        <v>0</v>
      </c>
      <c r="I73" s="308">
        <v>0</v>
      </c>
      <c r="J73" s="308">
        <v>0</v>
      </c>
      <c r="K73" s="308">
        <v>0</v>
      </c>
      <c r="L73" s="308">
        <v>-12</v>
      </c>
      <c r="M73" s="308">
        <v>-31</v>
      </c>
      <c r="N73" s="308">
        <v>-31</v>
      </c>
      <c r="O73" s="308">
        <v>0</v>
      </c>
      <c r="P73" s="308">
        <v>0</v>
      </c>
      <c r="Q73" s="308">
        <v>0</v>
      </c>
      <c r="R73" s="308">
        <v>0</v>
      </c>
      <c r="S73" s="308">
        <v>0</v>
      </c>
      <c r="T73" s="308">
        <v>0</v>
      </c>
      <c r="U73" s="308">
        <v>0</v>
      </c>
      <c r="V73" s="326"/>
      <c r="W73" s="326"/>
      <c r="X73" s="326"/>
      <c r="Y73" s="326"/>
      <c r="Z73" s="326"/>
      <c r="AA73" s="326"/>
      <c r="AB73" s="326"/>
      <c r="AC73" s="326"/>
      <c r="AD73" s="326"/>
      <c r="AE73" s="326"/>
      <c r="AF73" s="22"/>
      <c r="AP73" s="43"/>
    </row>
    <row r="74" spans="1:42" ht="25.5" outlineLevel="1" x14ac:dyDescent="0.2">
      <c r="A74" s="134" t="s">
        <v>292</v>
      </c>
      <c r="B74" s="308">
        <v>0</v>
      </c>
      <c r="C74" s="308">
        <v>-3</v>
      </c>
      <c r="D74" s="308">
        <v>-9</v>
      </c>
      <c r="E74" s="308">
        <v>0</v>
      </c>
      <c r="F74" s="308">
        <v>-4</v>
      </c>
      <c r="G74" s="308">
        <v>0</v>
      </c>
      <c r="H74" s="308">
        <v>-16</v>
      </c>
      <c r="I74" s="308">
        <v>0</v>
      </c>
      <c r="J74" s="308">
        <v>0</v>
      </c>
      <c r="K74" s="27">
        <v>0</v>
      </c>
      <c r="L74" s="27">
        <v>0</v>
      </c>
      <c r="M74" s="27">
        <v>0</v>
      </c>
      <c r="N74" s="27">
        <v>0</v>
      </c>
      <c r="O74" s="27">
        <v>0</v>
      </c>
      <c r="P74" s="27">
        <v>0</v>
      </c>
      <c r="Q74" s="308">
        <v>0</v>
      </c>
      <c r="R74" s="308">
        <v>-1</v>
      </c>
      <c r="S74" s="308">
        <v>0</v>
      </c>
      <c r="T74" s="308">
        <v>-1</v>
      </c>
      <c r="U74" s="308">
        <v>0</v>
      </c>
      <c r="V74" s="326"/>
      <c r="W74" s="326"/>
      <c r="X74" s="326"/>
      <c r="Y74" s="326"/>
      <c r="Z74" s="326"/>
      <c r="AA74" s="326"/>
      <c r="AB74" s="326"/>
      <c r="AC74" s="326"/>
      <c r="AD74" s="326"/>
      <c r="AE74" s="326"/>
      <c r="AF74" s="22"/>
      <c r="AP74" s="43"/>
    </row>
    <row r="75" spans="1:42" ht="15" customHeight="1" x14ac:dyDescent="0.25">
      <c r="A75" s="68" t="s">
        <v>597</v>
      </c>
      <c r="B75" s="122">
        <v>-1187</v>
      </c>
      <c r="C75" s="122">
        <v>-1941</v>
      </c>
      <c r="D75" s="122">
        <v>-2034</v>
      </c>
      <c r="E75" s="122">
        <v>-3102</v>
      </c>
      <c r="F75" s="122">
        <v>-6644</v>
      </c>
      <c r="G75" s="122">
        <v>-1021</v>
      </c>
      <c r="H75" s="122">
        <v>-1164</v>
      </c>
      <c r="I75" s="122">
        <v>-20</v>
      </c>
      <c r="J75" s="122">
        <v>-1975</v>
      </c>
      <c r="K75" s="122">
        <v>-1351</v>
      </c>
      <c r="L75" s="122">
        <v>-2979</v>
      </c>
      <c r="M75" s="122">
        <v>-2234</v>
      </c>
      <c r="N75" s="122">
        <v>-998</v>
      </c>
      <c r="O75" s="122">
        <v>-1237</v>
      </c>
      <c r="P75" s="122">
        <v>-2399</v>
      </c>
      <c r="Q75" s="122">
        <v>-1156</v>
      </c>
      <c r="R75" s="1">
        <v>-2237</v>
      </c>
      <c r="S75" s="440">
        <v>61</v>
      </c>
      <c r="T75" s="1">
        <v>-4304</v>
      </c>
      <c r="U75" s="1">
        <v>-139</v>
      </c>
      <c r="V75" s="331">
        <v>0.71356360572872779</v>
      </c>
      <c r="W75" s="331">
        <v>0.59814528593508509</v>
      </c>
      <c r="X75" s="331">
        <v>2.2664700098328416</v>
      </c>
      <c r="Y75" s="331">
        <v>-0.67085751128304327</v>
      </c>
      <c r="Z75" s="331">
        <v>-0.82480433473810955</v>
      </c>
      <c r="AA75" s="331">
        <v>-0.98041136141038199</v>
      </c>
      <c r="AB75" s="331">
        <v>0.6967353951890034</v>
      </c>
      <c r="AC75" s="331">
        <v>66.55</v>
      </c>
      <c r="AD75" s="331">
        <v>0.50835443037974692</v>
      </c>
      <c r="AE75" s="331">
        <v>0.65358993338267957</v>
      </c>
      <c r="AF75" s="215">
        <v>-0.66498825109097015</v>
      </c>
      <c r="AG75" s="215">
        <v>-0.446284691136974</v>
      </c>
      <c r="AH75" s="326">
        <v>1.4038076152304608</v>
      </c>
      <c r="AI75" s="326">
        <v>-6.5481002425222257E-2</v>
      </c>
      <c r="AJ75" s="326">
        <v>-6.7528136723634891E-2</v>
      </c>
      <c r="AK75" s="119">
        <v>-1.0527681660899655</v>
      </c>
      <c r="AL75" s="29">
        <v>0.92400536432722391</v>
      </c>
      <c r="AM75" s="29">
        <v>-3.278688524590164</v>
      </c>
      <c r="AP75" s="43"/>
    </row>
    <row r="76" spans="1:42" ht="15" customHeight="1" x14ac:dyDescent="0.2">
      <c r="A76" s="68" t="s">
        <v>291</v>
      </c>
      <c r="B76" s="27">
        <v>1746</v>
      </c>
      <c r="C76" s="27">
        <v>-1298</v>
      </c>
      <c r="D76" s="27">
        <v>2037</v>
      </c>
      <c r="E76" s="27">
        <v>-2546</v>
      </c>
      <c r="F76" s="27">
        <v>-3818</v>
      </c>
      <c r="G76" s="27">
        <v>-638</v>
      </c>
      <c r="H76" s="27">
        <v>-644</v>
      </c>
      <c r="I76" s="27">
        <v>829</v>
      </c>
      <c r="J76" s="27">
        <v>631</v>
      </c>
      <c r="K76" s="27">
        <v>1020</v>
      </c>
      <c r="L76" s="27">
        <v>1746</v>
      </c>
      <c r="M76" s="27">
        <v>-55</v>
      </c>
      <c r="N76" s="27">
        <v>1407</v>
      </c>
      <c r="O76" s="27">
        <v>-618</v>
      </c>
      <c r="P76" s="27">
        <v>-808</v>
      </c>
      <c r="Q76" s="308">
        <v>-644</v>
      </c>
      <c r="R76" s="308">
        <v>-2410</v>
      </c>
      <c r="S76" s="308">
        <v>2661</v>
      </c>
      <c r="T76" s="308">
        <v>627</v>
      </c>
      <c r="U76" s="308">
        <v>2067</v>
      </c>
      <c r="V76" s="331">
        <v>0.16666666666666674</v>
      </c>
      <c r="W76" s="331">
        <v>0.96147919876733434</v>
      </c>
      <c r="X76" s="331">
        <v>-2.8743249877270496</v>
      </c>
      <c r="Y76" s="331">
        <v>-0.74941084053417129</v>
      </c>
      <c r="Z76" s="331">
        <v>-0.83132530120481929</v>
      </c>
      <c r="AA76" s="331">
        <v>-2.2993730407523509</v>
      </c>
      <c r="AB76" s="331">
        <v>-1.9798136645962732</v>
      </c>
      <c r="AC76" s="331">
        <v>0.23039806996381174</v>
      </c>
      <c r="AD76" s="331">
        <v>1.7670364500792393</v>
      </c>
      <c r="AE76" s="331">
        <v>-1.053921568627451</v>
      </c>
      <c r="AF76" s="215">
        <v>-0.19415807560137455</v>
      </c>
      <c r="AG76" s="215">
        <v>10.236363636363636</v>
      </c>
      <c r="AH76" s="326">
        <v>-1.5742714996446341</v>
      </c>
      <c r="AI76" s="326">
        <v>4.2071197411003292E-2</v>
      </c>
      <c r="AJ76" s="326">
        <v>1.9826732673267329</v>
      </c>
      <c r="AK76" s="119">
        <v>-5.1319875776397517</v>
      </c>
      <c r="AL76" s="29">
        <v>-1.2601659751037344</v>
      </c>
      <c r="AM76" s="29">
        <v>-0.22322435174746336</v>
      </c>
      <c r="AP76" s="43"/>
    </row>
    <row r="77" spans="1:42" ht="15" customHeight="1" x14ac:dyDescent="0.2">
      <c r="A77" s="68" t="s">
        <v>598</v>
      </c>
      <c r="B77" s="308">
        <v>1995</v>
      </c>
      <c r="C77" s="308">
        <v>3632</v>
      </c>
      <c r="D77" s="27">
        <v>3632</v>
      </c>
      <c r="E77" s="27">
        <v>5405</v>
      </c>
      <c r="F77" s="27">
        <v>5405</v>
      </c>
      <c r="G77" s="27">
        <v>1627</v>
      </c>
      <c r="H77" s="27">
        <v>1627</v>
      </c>
      <c r="I77" s="27">
        <v>1037</v>
      </c>
      <c r="J77" s="27">
        <v>1037</v>
      </c>
      <c r="K77" s="27">
        <v>1621</v>
      </c>
      <c r="L77" s="308">
        <v>1621</v>
      </c>
      <c r="M77" s="308">
        <v>2793</v>
      </c>
      <c r="N77" s="308">
        <v>2793</v>
      </c>
      <c r="O77" s="308">
        <v>4054</v>
      </c>
      <c r="P77" s="308">
        <v>4098</v>
      </c>
      <c r="Q77" s="308">
        <v>3325</v>
      </c>
      <c r="R77" s="308">
        <v>3325</v>
      </c>
      <c r="S77" s="308">
        <v>852</v>
      </c>
      <c r="T77" s="308">
        <v>852</v>
      </c>
      <c r="U77" s="308">
        <v>1388</v>
      </c>
      <c r="V77" s="331">
        <v>0.82055137844611536</v>
      </c>
      <c r="W77" s="331">
        <v>0.48816079295154191</v>
      </c>
      <c r="X77" s="331">
        <v>0.48816079295154191</v>
      </c>
      <c r="Y77" s="331">
        <v>-0.6989824236817761</v>
      </c>
      <c r="Z77" s="331">
        <v>-0.6989824236817761</v>
      </c>
      <c r="AA77" s="331">
        <v>-0.36263060848186845</v>
      </c>
      <c r="AB77" s="331">
        <v>-0.36263060848186845</v>
      </c>
      <c r="AC77" s="331">
        <v>0.56316297010607519</v>
      </c>
      <c r="AD77" s="331">
        <v>0.56316297010607519</v>
      </c>
      <c r="AE77" s="331">
        <v>0.7230104873534855</v>
      </c>
      <c r="AF77" s="215">
        <v>0.7230104873534855</v>
      </c>
      <c r="AG77" s="215">
        <v>0.45148585750089509</v>
      </c>
      <c r="AH77" s="331">
        <v>0.46723952738990326</v>
      </c>
      <c r="AI77" s="331">
        <v>-0.18574247656635423</v>
      </c>
      <c r="AJ77" s="331">
        <v>-0.18862859931673992</v>
      </c>
      <c r="AK77" s="119">
        <v>-0.74375939849624062</v>
      </c>
      <c r="AL77" s="29">
        <v>-0.74375939849624062</v>
      </c>
      <c r="AM77" s="29">
        <v>0.62910798122065725</v>
      </c>
      <c r="AP77" s="43"/>
    </row>
    <row r="78" spans="1:42" ht="25.5" outlineLevel="1" x14ac:dyDescent="0.2">
      <c r="A78" s="134" t="s">
        <v>356</v>
      </c>
      <c r="B78" s="308">
        <v>0</v>
      </c>
      <c r="C78" s="308">
        <v>0</v>
      </c>
      <c r="D78" s="308">
        <v>0</v>
      </c>
      <c r="E78" s="308">
        <v>106</v>
      </c>
      <c r="F78" s="308">
        <v>106</v>
      </c>
      <c r="G78" s="308">
        <v>0</v>
      </c>
      <c r="H78" s="308">
        <v>0</v>
      </c>
      <c r="I78" s="308">
        <v>0</v>
      </c>
      <c r="J78" s="308">
        <v>-9</v>
      </c>
      <c r="K78" s="27">
        <v>9</v>
      </c>
      <c r="L78" s="27">
        <v>-5</v>
      </c>
      <c r="M78" s="27">
        <v>5</v>
      </c>
      <c r="N78" s="27">
        <v>5</v>
      </c>
      <c r="O78" s="27">
        <v>43</v>
      </c>
      <c r="P78" s="27"/>
      <c r="Q78" s="308"/>
      <c r="R78" s="308">
        <v>0</v>
      </c>
      <c r="S78" s="308">
        <v>0</v>
      </c>
      <c r="T78" s="308">
        <v>0</v>
      </c>
      <c r="U78" s="308">
        <v>0</v>
      </c>
      <c r="V78" s="331"/>
      <c r="W78" s="331"/>
      <c r="X78" s="331"/>
      <c r="Y78" s="331"/>
      <c r="Z78" s="331"/>
      <c r="AA78" s="331"/>
      <c r="AB78" s="331"/>
      <c r="AC78" s="331"/>
      <c r="AD78" s="331"/>
      <c r="AE78" s="331"/>
      <c r="AF78" s="62"/>
      <c r="AG78" s="62"/>
      <c r="AH78" s="331"/>
      <c r="AI78" s="331"/>
      <c r="AJ78" s="331"/>
      <c r="AK78" s="331"/>
      <c r="AL78" s="331"/>
      <c r="AM78" s="331"/>
      <c r="AP78" s="43"/>
    </row>
    <row r="79" spans="1:42" ht="25.5" outlineLevel="1" x14ac:dyDescent="0.2">
      <c r="A79" s="134" t="s">
        <v>357</v>
      </c>
      <c r="B79" s="308">
        <v>0</v>
      </c>
      <c r="C79" s="308">
        <v>0</v>
      </c>
      <c r="D79" s="308">
        <v>-106</v>
      </c>
      <c r="E79" s="308">
        <v>0</v>
      </c>
      <c r="F79" s="308"/>
      <c r="G79" s="308">
        <v>0</v>
      </c>
      <c r="H79" s="308"/>
      <c r="I79" s="308">
        <v>0</v>
      </c>
      <c r="J79" s="308">
        <v>0</v>
      </c>
      <c r="K79" s="27">
        <v>-28</v>
      </c>
      <c r="L79" s="27">
        <v>9</v>
      </c>
      <c r="M79" s="27">
        <v>-55</v>
      </c>
      <c r="N79" s="27">
        <v>-38</v>
      </c>
      <c r="O79" s="27">
        <v>-42</v>
      </c>
      <c r="P79" s="27"/>
      <c r="Q79" s="308"/>
      <c r="R79" s="308">
        <v>0</v>
      </c>
      <c r="S79" s="308">
        <v>0</v>
      </c>
      <c r="T79" s="308">
        <v>0</v>
      </c>
      <c r="U79" s="308">
        <v>-25</v>
      </c>
      <c r="V79" s="331"/>
      <c r="W79" s="331"/>
      <c r="X79" s="331"/>
      <c r="Y79" s="331"/>
      <c r="Z79" s="331"/>
      <c r="AA79" s="331"/>
      <c r="AB79" s="331"/>
      <c r="AC79" s="331"/>
      <c r="AD79" s="331"/>
      <c r="AE79" s="331"/>
      <c r="AF79" s="62"/>
      <c r="AG79" s="62"/>
      <c r="AH79" s="331"/>
      <c r="AI79" s="331"/>
      <c r="AJ79" s="331"/>
      <c r="AK79" s="331"/>
      <c r="AL79" s="331"/>
      <c r="AM79" s="331"/>
      <c r="AP79" s="43"/>
    </row>
    <row r="80" spans="1:42" ht="25.5" outlineLevel="1" x14ac:dyDescent="0.2">
      <c r="A80" s="134" t="s">
        <v>358</v>
      </c>
      <c r="B80" s="308">
        <v>-109</v>
      </c>
      <c r="C80" s="308">
        <v>-50</v>
      </c>
      <c r="D80" s="308">
        <v>-158</v>
      </c>
      <c r="E80" s="308">
        <v>207</v>
      </c>
      <c r="F80" s="308">
        <v>-66</v>
      </c>
      <c r="G80" s="308">
        <v>6</v>
      </c>
      <c r="H80" s="308">
        <v>54</v>
      </c>
      <c r="I80" s="308">
        <v>-57</v>
      </c>
      <c r="J80" s="308">
        <v>-38</v>
      </c>
      <c r="K80" s="27">
        <v>3</v>
      </c>
      <c r="L80" s="27">
        <v>-578</v>
      </c>
      <c r="M80" s="27">
        <v>126</v>
      </c>
      <c r="N80" s="27">
        <v>-113</v>
      </c>
      <c r="O80" s="27">
        <v>-23</v>
      </c>
      <c r="P80" s="27">
        <v>35</v>
      </c>
      <c r="Q80" s="308">
        <v>-35</v>
      </c>
      <c r="R80" s="308">
        <v>-63</v>
      </c>
      <c r="S80" s="308">
        <v>-75</v>
      </c>
      <c r="T80" s="308">
        <v>-91</v>
      </c>
      <c r="U80" s="308">
        <v>58</v>
      </c>
      <c r="V80" s="331">
        <v>0.44954128440366969</v>
      </c>
      <c r="W80" s="331">
        <v>-5.14</v>
      </c>
      <c r="X80" s="331">
        <v>-0.58227848101265822</v>
      </c>
      <c r="Y80" s="331">
        <v>-0.97101449275362317</v>
      </c>
      <c r="Z80" s="331">
        <v>-1.8181818181818183</v>
      </c>
      <c r="AA80" s="331">
        <v>-10.5</v>
      </c>
      <c r="AB80" s="331">
        <v>-1.7037037037037037</v>
      </c>
      <c r="AC80" s="331">
        <v>-1.0526315789473684</v>
      </c>
      <c r="AD80" s="331">
        <v>14.210526315789474</v>
      </c>
      <c r="AE80" s="331">
        <v>41</v>
      </c>
      <c r="AF80" s="215">
        <v>-0.80449826989619377</v>
      </c>
      <c r="AG80" s="215">
        <v>-1.1825396825396826</v>
      </c>
      <c r="AH80" s="331">
        <v>-1.3097345132743363</v>
      </c>
      <c r="AI80" s="331">
        <v>0.34782608695652173</v>
      </c>
      <c r="AJ80" s="331">
        <v>-2.8</v>
      </c>
      <c r="AK80" s="119">
        <v>1.1428571428571428</v>
      </c>
      <c r="AL80" s="29">
        <v>0.44444444444444442</v>
      </c>
      <c r="AM80" s="29">
        <v>-1.7733333333333334</v>
      </c>
      <c r="AP80" s="43"/>
    </row>
    <row r="81" spans="1:42" ht="15" customHeight="1" x14ac:dyDescent="0.2">
      <c r="A81" s="238" t="s">
        <v>599</v>
      </c>
      <c r="B81" s="333">
        <v>3632</v>
      </c>
      <c r="C81" s="333">
        <v>2284</v>
      </c>
      <c r="D81" s="333">
        <v>5405</v>
      </c>
      <c r="E81" s="333">
        <v>3172</v>
      </c>
      <c r="F81" s="333">
        <v>1627</v>
      </c>
      <c r="G81" s="333">
        <v>995</v>
      </c>
      <c r="H81" s="333">
        <v>1037</v>
      </c>
      <c r="I81" s="333">
        <v>1809</v>
      </c>
      <c r="J81" s="333">
        <v>1621</v>
      </c>
      <c r="K81" s="333">
        <v>2625</v>
      </c>
      <c r="L81" s="333">
        <v>2793</v>
      </c>
      <c r="M81" s="333">
        <v>2814</v>
      </c>
      <c r="N81" s="333">
        <v>4054</v>
      </c>
      <c r="O81" s="333">
        <v>3414</v>
      </c>
      <c r="P81" s="333">
        <v>3325</v>
      </c>
      <c r="Q81" s="333">
        <v>2646</v>
      </c>
      <c r="R81" s="333">
        <v>852</v>
      </c>
      <c r="S81" s="441">
        <v>3438</v>
      </c>
      <c r="T81" s="333">
        <v>1388</v>
      </c>
      <c r="U81" s="333">
        <v>3488</v>
      </c>
      <c r="V81" s="334">
        <v>0.48816079295154191</v>
      </c>
      <c r="W81" s="334">
        <v>0.3887915936952715</v>
      </c>
      <c r="X81" s="334">
        <v>-0.6989824236817761</v>
      </c>
      <c r="Y81" s="334">
        <v>-0.68631778058007564</v>
      </c>
      <c r="Z81" s="334">
        <v>-0.36263060848186845</v>
      </c>
      <c r="AA81" s="334">
        <v>0.81809045226130661</v>
      </c>
      <c r="AB81" s="334">
        <v>0.56316297010607519</v>
      </c>
      <c r="AC81" s="334">
        <v>0.45107794361525699</v>
      </c>
      <c r="AD81" s="334">
        <v>0.7230104873534855</v>
      </c>
      <c r="AE81" s="334">
        <v>7.2000000000000064E-2</v>
      </c>
      <c r="AF81" s="334">
        <v>0.45148585750089509</v>
      </c>
      <c r="AG81" s="334">
        <v>0.21321961620469088</v>
      </c>
      <c r="AH81" s="334">
        <v>-0.17982239763196839</v>
      </c>
      <c r="AI81" s="334">
        <v>-0.22964264792032807</v>
      </c>
      <c r="AJ81" s="334">
        <v>-0.74375939849624062</v>
      </c>
      <c r="AK81" s="334">
        <v>0.29931972789115657</v>
      </c>
      <c r="AL81" s="334">
        <v>0.62910798122065725</v>
      </c>
      <c r="AM81" s="334">
        <v>1.4543339150669077E-2</v>
      </c>
      <c r="AP81" s="43"/>
    </row>
    <row r="82" spans="1:42" ht="15" customHeight="1" x14ac:dyDescent="0.2">
      <c r="A82" s="62" t="s">
        <v>55</v>
      </c>
      <c r="AP82" s="43"/>
    </row>
    <row r="83" spans="1:42" x14ac:dyDescent="0.2">
      <c r="AP83" s="43"/>
    </row>
    <row r="84" spans="1:42" x14ac:dyDescent="0.2">
      <c r="A84" s="323" t="s">
        <v>56</v>
      </c>
      <c r="L84" s="232"/>
      <c r="M84" s="232"/>
      <c r="N84" s="232"/>
      <c r="O84" s="232"/>
      <c r="P84" s="232"/>
      <c r="Q84" s="232"/>
      <c r="R84" s="232"/>
      <c r="S84" s="232"/>
      <c r="T84" s="232"/>
      <c r="U84" s="232"/>
      <c r="AP84" s="43"/>
    </row>
    <row r="85" spans="1:42" s="25" customFormat="1" ht="25.5" x14ac:dyDescent="0.2">
      <c r="A85" s="210" t="s">
        <v>341</v>
      </c>
      <c r="B85" s="228"/>
      <c r="C85" s="228"/>
      <c r="D85" s="228"/>
      <c r="E85" s="228"/>
      <c r="F85" s="228"/>
      <c r="G85" s="228"/>
      <c r="H85" s="228"/>
      <c r="I85" s="228"/>
      <c r="J85" s="228"/>
      <c r="K85" s="228"/>
      <c r="L85" s="228"/>
      <c r="M85" s="228"/>
      <c r="N85" s="228"/>
      <c r="O85" s="228"/>
      <c r="P85" s="228"/>
      <c r="Q85" s="228"/>
      <c r="R85" s="228"/>
      <c r="S85" s="228"/>
      <c r="T85" s="228"/>
      <c r="U85" s="228"/>
      <c r="V85" s="335"/>
      <c r="W85" s="335"/>
      <c r="X85" s="335"/>
      <c r="Y85" s="335"/>
      <c r="Z85" s="335"/>
      <c r="AA85" s="335"/>
      <c r="AB85" s="335"/>
      <c r="AC85" s="335"/>
      <c r="AD85" s="335"/>
      <c r="AE85" s="335"/>
      <c r="AF85" s="335"/>
      <c r="AH85" s="335"/>
      <c r="AI85" s="335"/>
      <c r="AJ85" s="335"/>
      <c r="AK85" s="335"/>
      <c r="AL85" s="335"/>
      <c r="AM85" s="335"/>
      <c r="AP85" s="230"/>
    </row>
    <row r="86" spans="1:42" s="228" customFormat="1" ht="14.25" x14ac:dyDescent="0.2">
      <c r="A86" s="16" t="s">
        <v>402</v>
      </c>
      <c r="V86" s="335"/>
      <c r="W86" s="335"/>
      <c r="X86" s="335"/>
      <c r="Y86" s="335"/>
      <c r="Z86" s="335"/>
      <c r="AA86" s="335"/>
      <c r="AB86" s="335"/>
      <c r="AC86" s="335"/>
      <c r="AD86" s="335"/>
      <c r="AE86" s="335"/>
      <c r="AF86" s="335"/>
      <c r="AH86" s="335"/>
      <c r="AI86" s="335"/>
      <c r="AJ86" s="335"/>
      <c r="AK86" s="335"/>
      <c r="AL86" s="335"/>
      <c r="AM86" s="335"/>
      <c r="AP86" s="232"/>
    </row>
    <row r="87" spans="1:42" x14ac:dyDescent="0.2">
      <c r="AP87" s="43"/>
    </row>
  </sheetData>
  <customSheetViews>
    <customSheetView guid="{0879B2E0-1447-4BF4-B278-DFA3BD4BF3E7}" showPageBreaks="1" fitToPage="1" printArea="1" hiddenColumns="1" view="pageBreakPreview" topLeftCell="A55">
      <selection activeCell="AD2" sqref="AD2"/>
      <pageMargins left="0.7" right="0.7" top="0.75" bottom="0.75" header="0.3" footer="0.3"/>
      <pageSetup paperSize="9" scale="37" orientation="landscape" r:id="rId1"/>
    </customSheetView>
  </customSheetViews>
  <hyperlinks>
    <hyperlink ref="AN2" location="MENU!A1" display="MENU"/>
  </hyperlinks>
  <pageMargins left="0.7" right="0.7" top="0.75" bottom="0.75" header="0.3" footer="0.3"/>
  <pageSetup paperSize="9" scale="35" orientation="landscape" r:id="rId2"/>
  <customProperties>
    <customPr name="_pios_id" r:id="rId3"/>
    <customPr name="CofWorksheetType" r:id="rId4"/>
    <customPr name="EpmWorksheetKeyString_GUID" r:id="rId5"/>
  </customProperties>
  <drawing r:id="rId6"/>
  <legacyDrawing r:id="rId7"/>
  <controls>
    <mc:AlternateContent xmlns:mc="http://schemas.openxmlformats.org/markup-compatibility/2006">
      <mc:Choice Requires="x14">
        <control shapeId="537601" r:id="rId8" name="FPMExcelClientSheetOptionstb1">
          <controlPr defaultSize="0" autoLine="0" r:id="rId9">
            <anchor moveWithCells="1" sizeWithCells="1">
              <from>
                <xdr:col>0</xdr:col>
                <xdr:colOff>0</xdr:colOff>
                <xdr:row>0</xdr:row>
                <xdr:rowOff>0</xdr:rowOff>
              </from>
              <to>
                <xdr:col>0</xdr:col>
                <xdr:colOff>1057275</xdr:colOff>
                <xdr:row>0</xdr:row>
                <xdr:rowOff>0</xdr:rowOff>
              </to>
            </anchor>
          </controlPr>
        </control>
      </mc:Choice>
      <mc:Fallback>
        <control shapeId="537601" r:id="rId8"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tabColor rgb="FF4981BF"/>
    <pageSetUpPr fitToPage="1"/>
  </sheetPr>
  <dimension ref="A1:AO27"/>
  <sheetViews>
    <sheetView view="pageBreakPreview" zoomScale="70" zoomScaleNormal="85" zoomScaleSheetLayoutView="70" workbookViewId="0">
      <selection sqref="A1:AM23"/>
    </sheetView>
  </sheetViews>
  <sheetFormatPr defaultColWidth="8.85546875" defaultRowHeight="12.75" outlineLevelRow="1" outlineLevelCol="1" x14ac:dyDescent="0.2"/>
  <cols>
    <col min="1" max="1" width="60.7109375" style="22" customWidth="1"/>
    <col min="2" max="21" width="7.7109375" style="228" customWidth="1"/>
    <col min="22" max="28" width="10.7109375" style="22" hidden="1" customWidth="1" outlineLevel="1"/>
    <col min="29" max="29" width="10.7109375" style="52" hidden="1" customWidth="1" outlineLevel="1"/>
    <col min="30" max="39" width="10.7109375" style="22" hidden="1" customWidth="1" outlineLevel="1"/>
    <col min="40" max="40" width="8.85546875" style="22" collapsed="1"/>
    <col min="41" max="16384" width="8.85546875" style="22"/>
  </cols>
  <sheetData>
    <row r="1" spans="1:41" s="20" customFormat="1" ht="30" customHeight="1" thickBot="1" x14ac:dyDescent="0.3">
      <c r="A1" s="406" t="s">
        <v>15</v>
      </c>
      <c r="B1" s="411"/>
      <c r="C1" s="411"/>
      <c r="D1" s="411"/>
      <c r="E1" s="411"/>
      <c r="F1" s="411"/>
      <c r="G1" s="411"/>
      <c r="H1" s="411"/>
      <c r="I1" s="411"/>
      <c r="J1" s="411"/>
      <c r="K1" s="411"/>
      <c r="L1" s="411"/>
      <c r="M1" s="411"/>
      <c r="N1" s="411"/>
      <c r="O1" s="411"/>
      <c r="P1" s="411"/>
      <c r="Q1" s="411"/>
      <c r="R1" s="411"/>
      <c r="S1" s="435"/>
      <c r="T1" s="435"/>
      <c r="U1" s="412"/>
      <c r="V1" s="623" t="s">
        <v>240</v>
      </c>
      <c r="W1" s="623"/>
      <c r="X1" s="623"/>
      <c r="Y1" s="623"/>
      <c r="Z1" s="623"/>
      <c r="AA1" s="623"/>
      <c r="AB1" s="623"/>
      <c r="AC1" s="623"/>
      <c r="AD1" s="623"/>
      <c r="AE1" s="623"/>
      <c r="AF1" s="348"/>
      <c r="AG1" s="348"/>
      <c r="AH1" s="348"/>
      <c r="AI1" s="348"/>
      <c r="AJ1" s="379"/>
      <c r="AK1" s="348"/>
      <c r="AL1" s="448"/>
      <c r="AM1" s="559"/>
    </row>
    <row r="2" spans="1:41" s="108" customFormat="1" ht="30" customHeight="1" thickBot="1" x14ac:dyDescent="0.3">
      <c r="A2" s="403" t="s">
        <v>177</v>
      </c>
      <c r="B2" s="23">
        <v>2009</v>
      </c>
      <c r="C2" s="23" t="s">
        <v>208</v>
      </c>
      <c r="D2" s="23">
        <v>2010</v>
      </c>
      <c r="E2" s="23" t="s">
        <v>209</v>
      </c>
      <c r="F2" s="23">
        <v>2011</v>
      </c>
      <c r="G2" s="23" t="s">
        <v>210</v>
      </c>
      <c r="H2" s="23">
        <v>2012</v>
      </c>
      <c r="I2" s="23" t="s">
        <v>211</v>
      </c>
      <c r="J2" s="23">
        <v>2013</v>
      </c>
      <c r="K2" s="23" t="s">
        <v>212</v>
      </c>
      <c r="L2" s="23">
        <v>2014</v>
      </c>
      <c r="M2" s="23" t="s">
        <v>213</v>
      </c>
      <c r="N2" s="23">
        <v>2015</v>
      </c>
      <c r="O2" s="23" t="s">
        <v>343</v>
      </c>
      <c r="P2" s="23">
        <v>2016</v>
      </c>
      <c r="Q2" s="23" t="s">
        <v>405</v>
      </c>
      <c r="R2" s="23">
        <v>2017</v>
      </c>
      <c r="S2" s="23" t="s">
        <v>431</v>
      </c>
      <c r="T2" s="23">
        <v>2018</v>
      </c>
      <c r="U2" s="404" t="s">
        <v>577</v>
      </c>
      <c r="V2" s="23" t="s">
        <v>241</v>
      </c>
      <c r="W2" s="23" t="s">
        <v>242</v>
      </c>
      <c r="X2" s="23" t="s">
        <v>221</v>
      </c>
      <c r="Y2" s="23" t="s">
        <v>243</v>
      </c>
      <c r="Z2" s="23" t="s">
        <v>244</v>
      </c>
      <c r="AA2" s="23" t="s">
        <v>245</v>
      </c>
      <c r="AB2" s="23" t="s">
        <v>246</v>
      </c>
      <c r="AC2" s="23" t="s">
        <v>247</v>
      </c>
      <c r="AD2" s="23" t="s">
        <v>248</v>
      </c>
      <c r="AE2" s="23" t="s">
        <v>249</v>
      </c>
      <c r="AF2" s="23" t="s">
        <v>336</v>
      </c>
      <c r="AG2" s="23" t="s">
        <v>342</v>
      </c>
      <c r="AH2" s="23" t="s">
        <v>368</v>
      </c>
      <c r="AI2" s="23" t="s">
        <v>409</v>
      </c>
      <c r="AJ2" s="23" t="s">
        <v>419</v>
      </c>
      <c r="AK2" s="23" t="s">
        <v>435</v>
      </c>
      <c r="AL2" s="23" t="s">
        <v>490</v>
      </c>
      <c r="AM2" s="23" t="s">
        <v>588</v>
      </c>
      <c r="AN2" s="107" t="s">
        <v>215</v>
      </c>
    </row>
    <row r="3" spans="1:41" s="25" customFormat="1" ht="15" customHeight="1" x14ac:dyDescent="0.2">
      <c r="A3" s="171" t="s">
        <v>83</v>
      </c>
      <c r="B3" s="221"/>
      <c r="C3" s="221"/>
      <c r="D3" s="221"/>
      <c r="E3" s="221"/>
      <c r="F3" s="221"/>
      <c r="G3" s="221"/>
      <c r="H3" s="202"/>
      <c r="I3" s="202"/>
      <c r="J3" s="202"/>
      <c r="K3" s="202"/>
      <c r="L3" s="202"/>
      <c r="M3" s="202"/>
      <c r="N3" s="202"/>
      <c r="O3" s="202"/>
      <c r="P3" s="202"/>
      <c r="Q3" s="202"/>
      <c r="R3" s="202"/>
      <c r="S3" s="202"/>
      <c r="T3" s="202"/>
      <c r="U3" s="202"/>
      <c r="V3" s="41"/>
      <c r="W3" s="41"/>
      <c r="X3" s="41"/>
      <c r="Y3" s="41"/>
      <c r="Z3" s="41"/>
      <c r="AA3" s="41"/>
      <c r="AB3" s="41"/>
      <c r="AC3" s="41"/>
      <c r="AD3" s="41"/>
      <c r="AE3" s="41"/>
      <c r="AF3" s="41"/>
      <c r="AG3" s="41"/>
      <c r="AH3" s="41"/>
      <c r="AI3" s="41"/>
      <c r="AJ3" s="41"/>
      <c r="AK3" s="41"/>
      <c r="AL3" s="41"/>
      <c r="AM3" s="41"/>
      <c r="AO3" s="22"/>
    </row>
    <row r="4" spans="1:41" s="25" customFormat="1" ht="15" customHeight="1" outlineLevel="1" x14ac:dyDescent="0.25">
      <c r="A4" s="167" t="s">
        <v>78</v>
      </c>
      <c r="B4" s="308">
        <v>1990</v>
      </c>
      <c r="C4" s="308">
        <v>2197</v>
      </c>
      <c r="D4" s="308">
        <v>2246</v>
      </c>
      <c r="E4" s="308">
        <v>2763</v>
      </c>
      <c r="F4" s="308">
        <v>2623</v>
      </c>
      <c r="G4" s="308">
        <v>2985</v>
      </c>
      <c r="H4" s="308">
        <v>3197</v>
      </c>
      <c r="I4" s="308">
        <v>3195</v>
      </c>
      <c r="J4" s="308">
        <v>2955</v>
      </c>
      <c r="K4" s="308">
        <v>3017</v>
      </c>
      <c r="L4" s="308">
        <v>1726</v>
      </c>
      <c r="M4" s="308">
        <v>1773</v>
      </c>
      <c r="N4" s="308">
        <v>1698</v>
      </c>
      <c r="O4" s="308">
        <v>1921</v>
      </c>
      <c r="P4" s="308">
        <v>1912</v>
      </c>
      <c r="Q4" s="308">
        <v>2174</v>
      </c>
      <c r="R4" s="308">
        <v>2689</v>
      </c>
      <c r="S4" s="308">
        <v>2596</v>
      </c>
      <c r="T4" s="308">
        <v>2280</v>
      </c>
      <c r="U4" s="308">
        <v>2470</v>
      </c>
      <c r="V4" s="233">
        <v>-256</v>
      </c>
      <c r="W4" s="233">
        <v>-566</v>
      </c>
      <c r="X4" s="233">
        <v>-377</v>
      </c>
      <c r="Y4" s="233">
        <v>-222</v>
      </c>
      <c r="Z4" s="233">
        <v>-574</v>
      </c>
      <c r="AA4" s="233">
        <v>-210</v>
      </c>
      <c r="AB4" s="233">
        <v>242</v>
      </c>
      <c r="AC4" s="233">
        <v>178</v>
      </c>
      <c r="AD4" s="233">
        <v>1229</v>
      </c>
      <c r="AE4" s="233">
        <v>1244</v>
      </c>
      <c r="AF4" s="233">
        <v>28</v>
      </c>
      <c r="AG4" s="233">
        <v>-148</v>
      </c>
      <c r="AH4" s="233">
        <v>-214</v>
      </c>
      <c r="AI4" s="233">
        <v>-253</v>
      </c>
      <c r="AJ4" s="233">
        <v>-777</v>
      </c>
      <c r="AK4" s="233">
        <v>422</v>
      </c>
      <c r="AL4" s="233">
        <v>-409</v>
      </c>
      <c r="AM4" s="564">
        <v>126</v>
      </c>
      <c r="AN4" s="32"/>
    </row>
    <row r="5" spans="1:41" s="25" customFormat="1" ht="15" customHeight="1" outlineLevel="1" x14ac:dyDescent="0.2">
      <c r="A5" s="167" t="s">
        <v>79</v>
      </c>
      <c r="B5" s="308">
        <v>978</v>
      </c>
      <c r="C5" s="308">
        <v>1111</v>
      </c>
      <c r="D5" s="308">
        <v>1175</v>
      </c>
      <c r="E5" s="308">
        <v>1191</v>
      </c>
      <c r="F5" s="308">
        <v>1032</v>
      </c>
      <c r="G5" s="308">
        <v>1108</v>
      </c>
      <c r="H5" s="308">
        <v>1063</v>
      </c>
      <c r="I5" s="308">
        <v>1181</v>
      </c>
      <c r="J5" s="308">
        <v>633</v>
      </c>
      <c r="K5" s="308">
        <v>610</v>
      </c>
      <c r="L5" s="308">
        <v>275</v>
      </c>
      <c r="M5" s="308">
        <v>181</v>
      </c>
      <c r="N5" s="308">
        <v>167</v>
      </c>
      <c r="O5" s="308">
        <v>178</v>
      </c>
      <c r="P5" s="308">
        <v>173</v>
      </c>
      <c r="Q5" s="308">
        <v>201</v>
      </c>
      <c r="R5" s="308">
        <v>327</v>
      </c>
      <c r="S5" s="308">
        <v>465</v>
      </c>
      <c r="T5" s="308">
        <v>204</v>
      </c>
      <c r="U5" s="308">
        <v>327</v>
      </c>
      <c r="V5" s="233">
        <v>-197</v>
      </c>
      <c r="W5" s="233">
        <v>-80</v>
      </c>
      <c r="X5" s="233">
        <v>143</v>
      </c>
      <c r="Y5" s="233">
        <v>83</v>
      </c>
      <c r="Z5" s="233">
        <v>-31</v>
      </c>
      <c r="AA5" s="233">
        <v>-73</v>
      </c>
      <c r="AB5" s="233">
        <v>430</v>
      </c>
      <c r="AC5" s="233">
        <v>571</v>
      </c>
      <c r="AD5" s="233">
        <v>358</v>
      </c>
      <c r="AE5" s="233">
        <v>429</v>
      </c>
      <c r="AF5" s="233">
        <v>108</v>
      </c>
      <c r="AG5" s="233">
        <v>3</v>
      </c>
      <c r="AH5" s="233">
        <v>-6</v>
      </c>
      <c r="AI5" s="233">
        <v>-23</v>
      </c>
      <c r="AJ5" s="233">
        <v>-154</v>
      </c>
      <c r="AK5" s="233">
        <v>264</v>
      </c>
      <c r="AL5" s="233">
        <v>-123</v>
      </c>
      <c r="AM5" s="233">
        <v>138</v>
      </c>
    </row>
    <row r="6" spans="1:41" s="25" customFormat="1" ht="15" customHeight="1" outlineLevel="1" x14ac:dyDescent="0.2">
      <c r="A6" s="167" t="s">
        <v>80</v>
      </c>
      <c r="B6" s="308">
        <v>89</v>
      </c>
      <c r="C6" s="308">
        <v>123</v>
      </c>
      <c r="D6" s="308">
        <v>96</v>
      </c>
      <c r="E6" s="308">
        <v>127</v>
      </c>
      <c r="F6" s="308">
        <v>71</v>
      </c>
      <c r="G6" s="308">
        <v>121</v>
      </c>
      <c r="H6" s="308">
        <v>90</v>
      </c>
      <c r="I6" s="308">
        <v>137</v>
      </c>
      <c r="J6" s="308">
        <v>93</v>
      </c>
      <c r="K6" s="308">
        <v>114</v>
      </c>
      <c r="L6" s="308">
        <v>63</v>
      </c>
      <c r="M6" s="308">
        <v>83</v>
      </c>
      <c r="N6" s="308">
        <v>55</v>
      </c>
      <c r="O6" s="308">
        <v>115</v>
      </c>
      <c r="P6" s="308">
        <v>66</v>
      </c>
      <c r="Q6" s="308">
        <v>88</v>
      </c>
      <c r="R6" s="308">
        <v>71</v>
      </c>
      <c r="S6" s="308">
        <v>89</v>
      </c>
      <c r="T6" s="308">
        <v>75</v>
      </c>
      <c r="U6" s="308">
        <v>89</v>
      </c>
      <c r="V6" s="233">
        <v>-7</v>
      </c>
      <c r="W6" s="233">
        <v>-4</v>
      </c>
      <c r="X6" s="233">
        <v>25</v>
      </c>
      <c r="Y6" s="233">
        <v>6</v>
      </c>
      <c r="Z6" s="233">
        <v>-19</v>
      </c>
      <c r="AA6" s="233">
        <v>-16</v>
      </c>
      <c r="AB6" s="233">
        <v>-3</v>
      </c>
      <c r="AC6" s="233">
        <v>23</v>
      </c>
      <c r="AD6" s="233">
        <v>30</v>
      </c>
      <c r="AE6" s="233">
        <v>31</v>
      </c>
      <c r="AF6" s="233">
        <v>8</v>
      </c>
      <c r="AG6" s="233">
        <v>-32</v>
      </c>
      <c r="AH6" s="233">
        <v>-11</v>
      </c>
      <c r="AI6" s="233">
        <v>27</v>
      </c>
      <c r="AJ6" s="233">
        <v>-5</v>
      </c>
      <c r="AK6" s="233">
        <v>1</v>
      </c>
      <c r="AL6" s="233">
        <v>4</v>
      </c>
      <c r="AM6" s="233">
        <v>0</v>
      </c>
    </row>
    <row r="7" spans="1:41" s="25" customFormat="1" ht="15" customHeight="1" outlineLevel="1" x14ac:dyDescent="0.2">
      <c r="A7" s="167" t="s">
        <v>81</v>
      </c>
      <c r="B7" s="308">
        <v>147</v>
      </c>
      <c r="C7" s="308">
        <v>95</v>
      </c>
      <c r="D7" s="308">
        <v>90</v>
      </c>
      <c r="E7" s="308">
        <v>234</v>
      </c>
      <c r="F7" s="308">
        <v>347</v>
      </c>
      <c r="G7" s="308">
        <v>111</v>
      </c>
      <c r="H7" s="308">
        <v>195</v>
      </c>
      <c r="I7" s="308">
        <v>175</v>
      </c>
      <c r="J7" s="308">
        <v>61</v>
      </c>
      <c r="K7" s="308">
        <v>10</v>
      </c>
      <c r="L7" s="308">
        <v>127</v>
      </c>
      <c r="M7" s="308">
        <v>86</v>
      </c>
      <c r="N7" s="308">
        <v>234</v>
      </c>
      <c r="O7" s="308">
        <v>228</v>
      </c>
      <c r="P7" s="308">
        <v>82</v>
      </c>
      <c r="Q7" s="308">
        <v>137</v>
      </c>
      <c r="R7" s="308">
        <v>82</v>
      </c>
      <c r="S7" s="308">
        <v>93</v>
      </c>
      <c r="T7" s="308">
        <v>92</v>
      </c>
      <c r="U7" s="308">
        <v>9</v>
      </c>
      <c r="V7" s="233">
        <v>57</v>
      </c>
      <c r="W7" s="233">
        <v>-139</v>
      </c>
      <c r="X7" s="233">
        <v>-257</v>
      </c>
      <c r="Y7" s="233">
        <v>123</v>
      </c>
      <c r="Z7" s="233">
        <v>152</v>
      </c>
      <c r="AA7" s="233">
        <v>-64</v>
      </c>
      <c r="AB7" s="233">
        <v>134</v>
      </c>
      <c r="AC7" s="233">
        <v>165</v>
      </c>
      <c r="AD7" s="233">
        <v>-66</v>
      </c>
      <c r="AE7" s="233">
        <v>-76</v>
      </c>
      <c r="AF7" s="233">
        <v>-107</v>
      </c>
      <c r="AG7" s="233">
        <v>-142</v>
      </c>
      <c r="AH7" s="233">
        <v>152</v>
      </c>
      <c r="AI7" s="233">
        <v>91</v>
      </c>
      <c r="AJ7" s="233">
        <v>0</v>
      </c>
      <c r="AK7" s="233">
        <v>-44</v>
      </c>
      <c r="AL7" s="233">
        <v>10</v>
      </c>
      <c r="AM7" s="233">
        <v>84</v>
      </c>
    </row>
    <row r="8" spans="1:41" s="25" customFormat="1" ht="15" customHeight="1" outlineLevel="1" x14ac:dyDescent="0.2">
      <c r="A8" s="167" t="s">
        <v>250</v>
      </c>
      <c r="B8" s="308">
        <v>442</v>
      </c>
      <c r="C8" s="308">
        <v>427</v>
      </c>
      <c r="D8" s="308">
        <v>509</v>
      </c>
      <c r="E8" s="308">
        <v>650</v>
      </c>
      <c r="F8" s="308">
        <v>716</v>
      </c>
      <c r="G8" s="308">
        <v>762</v>
      </c>
      <c r="H8" s="308">
        <v>977</v>
      </c>
      <c r="I8" s="308">
        <v>716</v>
      </c>
      <c r="J8" s="308">
        <v>509</v>
      </c>
      <c r="K8" s="308">
        <v>333</v>
      </c>
      <c r="L8" s="308">
        <v>178</v>
      </c>
      <c r="M8" s="308">
        <v>182</v>
      </c>
      <c r="N8" s="308">
        <v>199</v>
      </c>
      <c r="O8" s="308">
        <v>171</v>
      </c>
      <c r="P8" s="308">
        <v>277</v>
      </c>
      <c r="Q8" s="308">
        <v>266</v>
      </c>
      <c r="R8" s="308">
        <v>296</v>
      </c>
      <c r="S8" s="308">
        <v>245</v>
      </c>
      <c r="T8" s="308">
        <v>271</v>
      </c>
      <c r="U8" s="308">
        <v>340</v>
      </c>
      <c r="V8" s="233">
        <v>-67</v>
      </c>
      <c r="W8" s="233">
        <v>-223</v>
      </c>
      <c r="X8" s="233">
        <v>-207</v>
      </c>
      <c r="Y8" s="233">
        <v>-112</v>
      </c>
      <c r="Z8" s="233">
        <v>-261</v>
      </c>
      <c r="AA8" s="233">
        <v>46</v>
      </c>
      <c r="AB8" s="233">
        <v>468</v>
      </c>
      <c r="AC8" s="233">
        <v>383</v>
      </c>
      <c r="AD8" s="233">
        <v>331</v>
      </c>
      <c r="AE8" s="233">
        <v>151</v>
      </c>
      <c r="AF8" s="233">
        <v>-21</v>
      </c>
      <c r="AG8" s="233">
        <v>11</v>
      </c>
      <c r="AH8" s="233">
        <v>-78</v>
      </c>
      <c r="AI8" s="233">
        <v>-95</v>
      </c>
      <c r="AJ8" s="233">
        <v>-19</v>
      </c>
      <c r="AK8" s="233">
        <v>-21</v>
      </c>
      <c r="AL8" s="233">
        <v>-25</v>
      </c>
      <c r="AM8" s="233">
        <v>-95</v>
      </c>
      <c r="AO8" s="230"/>
    </row>
    <row r="9" spans="1:41" s="25" customFormat="1" ht="15" customHeight="1" x14ac:dyDescent="0.2">
      <c r="A9" s="171" t="s">
        <v>102</v>
      </c>
      <c r="B9" s="308" t="s">
        <v>251</v>
      </c>
      <c r="C9" s="308" t="s">
        <v>251</v>
      </c>
      <c r="D9" s="308" t="s">
        <v>251</v>
      </c>
      <c r="E9" s="308" t="s">
        <v>251</v>
      </c>
      <c r="F9" s="308" t="s">
        <v>251</v>
      </c>
      <c r="G9" s="308" t="s">
        <v>251</v>
      </c>
      <c r="H9" s="308" t="s">
        <v>251</v>
      </c>
      <c r="I9" s="308"/>
      <c r="J9" s="308"/>
      <c r="K9" s="308"/>
      <c r="L9" s="308"/>
      <c r="M9" s="308"/>
      <c r="N9" s="308"/>
      <c r="O9" s="308"/>
      <c r="P9" s="308"/>
      <c r="Q9" s="308"/>
      <c r="R9" s="308"/>
      <c r="S9" s="308"/>
      <c r="T9" s="308"/>
      <c r="U9" s="308"/>
      <c r="V9" s="233"/>
      <c r="W9" s="233"/>
      <c r="X9" s="233"/>
      <c r="Y9" s="233"/>
      <c r="Z9" s="233"/>
      <c r="AA9" s="233"/>
      <c r="AB9" s="233"/>
      <c r="AC9" s="233"/>
      <c r="AD9" s="233"/>
      <c r="AE9" s="233">
        <v>0</v>
      </c>
      <c r="AF9" s="233">
        <v>0</v>
      </c>
      <c r="AG9" s="233">
        <v>0</v>
      </c>
      <c r="AH9" s="233">
        <v>0</v>
      </c>
      <c r="AI9" s="233">
        <v>0</v>
      </c>
      <c r="AJ9" s="233">
        <v>0</v>
      </c>
      <c r="AK9" s="233">
        <v>0</v>
      </c>
      <c r="AL9" s="233">
        <v>0</v>
      </c>
      <c r="AM9" s="233">
        <v>0</v>
      </c>
    </row>
    <row r="10" spans="1:41" s="25" customFormat="1" ht="15" customHeight="1" outlineLevel="1" x14ac:dyDescent="0.2">
      <c r="A10" s="167" t="s">
        <v>92</v>
      </c>
      <c r="B10" s="308">
        <v>375</v>
      </c>
      <c r="C10" s="308">
        <v>328</v>
      </c>
      <c r="D10" s="308">
        <v>367</v>
      </c>
      <c r="E10" s="308">
        <v>354</v>
      </c>
      <c r="F10" s="308">
        <v>373</v>
      </c>
      <c r="G10" s="308">
        <v>370</v>
      </c>
      <c r="H10" s="308">
        <v>498</v>
      </c>
      <c r="I10" s="308">
        <v>377</v>
      </c>
      <c r="J10" s="308">
        <v>415</v>
      </c>
      <c r="K10" s="308">
        <v>402</v>
      </c>
      <c r="L10" s="308">
        <v>252</v>
      </c>
      <c r="M10" s="308">
        <v>272</v>
      </c>
      <c r="N10" s="308">
        <v>215</v>
      </c>
      <c r="O10" s="308">
        <v>279</v>
      </c>
      <c r="P10" s="308">
        <v>301</v>
      </c>
      <c r="Q10" s="308">
        <v>371</v>
      </c>
      <c r="R10" s="308">
        <v>377</v>
      </c>
      <c r="S10" s="308">
        <v>316</v>
      </c>
      <c r="T10" s="308">
        <v>307</v>
      </c>
      <c r="U10" s="308">
        <v>336</v>
      </c>
      <c r="V10" s="233">
        <v>-8</v>
      </c>
      <c r="W10" s="233">
        <v>26</v>
      </c>
      <c r="X10" s="233">
        <v>6</v>
      </c>
      <c r="Y10" s="233">
        <v>16</v>
      </c>
      <c r="Z10" s="233">
        <v>125</v>
      </c>
      <c r="AA10" s="233">
        <v>7</v>
      </c>
      <c r="AB10" s="233">
        <v>-83</v>
      </c>
      <c r="AC10" s="233">
        <v>25</v>
      </c>
      <c r="AD10" s="233">
        <v>-163</v>
      </c>
      <c r="AE10" s="233">
        <v>130</v>
      </c>
      <c r="AF10" s="233">
        <v>37</v>
      </c>
      <c r="AG10" s="233">
        <v>-7</v>
      </c>
      <c r="AH10" s="233">
        <v>-86</v>
      </c>
      <c r="AI10" s="233">
        <v>-92</v>
      </c>
      <c r="AJ10" s="233">
        <v>-76</v>
      </c>
      <c r="AK10" s="233">
        <v>-55</v>
      </c>
      <c r="AL10" s="233">
        <v>-70</v>
      </c>
      <c r="AM10" s="233">
        <v>-20</v>
      </c>
    </row>
    <row r="11" spans="1:41" ht="15" customHeight="1" outlineLevel="1" x14ac:dyDescent="0.2">
      <c r="A11" s="167" t="s">
        <v>637</v>
      </c>
      <c r="B11" s="308">
        <v>486</v>
      </c>
      <c r="C11" s="308">
        <v>559</v>
      </c>
      <c r="D11" s="308">
        <v>599</v>
      </c>
      <c r="E11" s="308">
        <v>566</v>
      </c>
      <c r="F11" s="308">
        <v>543</v>
      </c>
      <c r="G11" s="308">
        <v>654</v>
      </c>
      <c r="H11" s="308">
        <v>696</v>
      </c>
      <c r="I11" s="308">
        <v>664</v>
      </c>
      <c r="J11" s="308">
        <v>619</v>
      </c>
      <c r="K11" s="308">
        <v>1124</v>
      </c>
      <c r="L11" s="308">
        <v>908</v>
      </c>
      <c r="M11" s="308">
        <v>1173</v>
      </c>
      <c r="N11" s="308">
        <v>1008</v>
      </c>
      <c r="O11" s="308">
        <v>1232</v>
      </c>
      <c r="P11" s="308">
        <v>1613</v>
      </c>
      <c r="Q11" s="308">
        <v>1536</v>
      </c>
      <c r="R11" s="308">
        <v>783</v>
      </c>
      <c r="S11" s="308">
        <v>1301</v>
      </c>
      <c r="T11" s="308">
        <v>1551</v>
      </c>
      <c r="U11" s="308">
        <v>1358</v>
      </c>
      <c r="V11" s="233">
        <v>113</v>
      </c>
      <c r="W11" s="233">
        <v>7</v>
      </c>
      <c r="X11" s="233">
        <v>-56</v>
      </c>
      <c r="Y11" s="233">
        <v>88</v>
      </c>
      <c r="Z11" s="233">
        <v>153</v>
      </c>
      <c r="AA11" s="233">
        <v>10</v>
      </c>
      <c r="AB11" s="233">
        <v>-77</v>
      </c>
      <c r="AC11" s="233">
        <v>460</v>
      </c>
      <c r="AD11" s="233">
        <v>289</v>
      </c>
      <c r="AE11" s="233">
        <v>-49</v>
      </c>
      <c r="AF11" s="233">
        <v>-100</v>
      </c>
      <c r="AG11" s="233">
        <v>-59</v>
      </c>
      <c r="AH11" s="233">
        <v>-605</v>
      </c>
      <c r="AI11" s="233">
        <v>-304</v>
      </c>
      <c r="AJ11" s="233">
        <v>830</v>
      </c>
      <c r="AK11" s="233">
        <v>-235</v>
      </c>
      <c r="AL11" s="233">
        <v>768</v>
      </c>
      <c r="AM11" s="233">
        <v>-57</v>
      </c>
    </row>
    <row r="12" spans="1:41" ht="15" customHeight="1" outlineLevel="1" x14ac:dyDescent="0.2">
      <c r="A12" s="167" t="s">
        <v>101</v>
      </c>
      <c r="B12" s="308">
        <v>21</v>
      </c>
      <c r="C12" s="308">
        <v>184</v>
      </c>
      <c r="D12" s="308">
        <v>120</v>
      </c>
      <c r="E12" s="308">
        <v>11</v>
      </c>
      <c r="F12" s="308">
        <v>5</v>
      </c>
      <c r="G12" s="308">
        <v>18</v>
      </c>
      <c r="H12" s="308">
        <v>18</v>
      </c>
      <c r="I12" s="308">
        <v>5</v>
      </c>
      <c r="J12" s="308">
        <v>1</v>
      </c>
      <c r="K12" s="308">
        <v>223</v>
      </c>
      <c r="L12" s="308">
        <v>23</v>
      </c>
      <c r="M12" s="308">
        <v>16</v>
      </c>
      <c r="N12" s="308">
        <v>5</v>
      </c>
      <c r="O12" s="308">
        <v>18</v>
      </c>
      <c r="P12" s="308">
        <v>2</v>
      </c>
      <c r="Q12" s="308">
        <v>1</v>
      </c>
      <c r="R12" s="308">
        <v>9</v>
      </c>
      <c r="S12" s="308">
        <v>10</v>
      </c>
      <c r="T12" s="308">
        <v>35</v>
      </c>
      <c r="U12" s="308">
        <v>36</v>
      </c>
      <c r="V12" s="233">
        <v>99</v>
      </c>
      <c r="W12" s="233">
        <v>-173</v>
      </c>
      <c r="X12" s="233">
        <v>-115</v>
      </c>
      <c r="Y12" s="233">
        <v>7</v>
      </c>
      <c r="Z12" s="233">
        <v>13</v>
      </c>
      <c r="AA12" s="233">
        <v>-13</v>
      </c>
      <c r="AB12" s="233">
        <v>-17</v>
      </c>
      <c r="AC12" s="233">
        <v>218</v>
      </c>
      <c r="AD12" s="233">
        <v>22</v>
      </c>
      <c r="AE12" s="233">
        <v>207</v>
      </c>
      <c r="AF12" s="233">
        <v>18</v>
      </c>
      <c r="AG12" s="233">
        <v>-2</v>
      </c>
      <c r="AH12" s="233">
        <v>3</v>
      </c>
      <c r="AI12" s="233">
        <v>17</v>
      </c>
      <c r="AJ12" s="233">
        <v>-7</v>
      </c>
      <c r="AK12" s="233">
        <v>9</v>
      </c>
      <c r="AL12" s="233">
        <v>26</v>
      </c>
      <c r="AM12" s="233">
        <v>-26</v>
      </c>
    </row>
    <row r="13" spans="1:41" ht="15" customHeight="1" outlineLevel="1" x14ac:dyDescent="0.2">
      <c r="A13" s="167" t="s">
        <v>95</v>
      </c>
      <c r="B13" s="308">
        <v>200</v>
      </c>
      <c r="C13" s="308">
        <v>214</v>
      </c>
      <c r="D13" s="308">
        <v>135</v>
      </c>
      <c r="E13" s="308">
        <v>193</v>
      </c>
      <c r="F13" s="308">
        <v>150</v>
      </c>
      <c r="G13" s="308">
        <v>230</v>
      </c>
      <c r="H13" s="308">
        <v>225</v>
      </c>
      <c r="I13" s="308">
        <v>233</v>
      </c>
      <c r="J13" s="308">
        <v>198</v>
      </c>
      <c r="K13" s="308">
        <v>181</v>
      </c>
      <c r="L13" s="308">
        <v>99</v>
      </c>
      <c r="M13" s="308">
        <v>129</v>
      </c>
      <c r="N13" s="308">
        <v>95</v>
      </c>
      <c r="O13" s="308">
        <v>133</v>
      </c>
      <c r="P13" s="308">
        <v>139</v>
      </c>
      <c r="Q13" s="308">
        <v>153</v>
      </c>
      <c r="R13" s="308">
        <v>147</v>
      </c>
      <c r="S13" s="308">
        <v>142</v>
      </c>
      <c r="T13" s="308">
        <v>162</v>
      </c>
      <c r="U13" s="308">
        <v>223</v>
      </c>
      <c r="V13" s="233">
        <v>-65</v>
      </c>
      <c r="W13" s="233">
        <v>-21</v>
      </c>
      <c r="X13" s="233">
        <v>15</v>
      </c>
      <c r="Y13" s="233">
        <v>37</v>
      </c>
      <c r="Z13" s="233">
        <v>75</v>
      </c>
      <c r="AA13" s="233">
        <v>3</v>
      </c>
      <c r="AB13" s="233">
        <v>-27</v>
      </c>
      <c r="AC13" s="233">
        <v>-52</v>
      </c>
      <c r="AD13" s="233">
        <v>-99</v>
      </c>
      <c r="AE13" s="233">
        <v>52</v>
      </c>
      <c r="AF13" s="233">
        <v>4</v>
      </c>
      <c r="AG13" s="233">
        <v>-4</v>
      </c>
      <c r="AH13" s="233">
        <v>-44</v>
      </c>
      <c r="AI13" s="233">
        <v>-20</v>
      </c>
      <c r="AJ13" s="233">
        <v>-8</v>
      </c>
      <c r="AK13" s="233">
        <v>-11</v>
      </c>
      <c r="AL13" s="233">
        <v>15</v>
      </c>
      <c r="AM13" s="233">
        <v>-81</v>
      </c>
      <c r="AN13" s="43"/>
    </row>
    <row r="14" spans="1:41" ht="15" customHeight="1" outlineLevel="1" x14ac:dyDescent="0.2">
      <c r="A14" s="167" t="s">
        <v>93</v>
      </c>
      <c r="B14" s="308">
        <v>44</v>
      </c>
      <c r="C14" s="308">
        <v>0</v>
      </c>
      <c r="D14" s="308">
        <v>8</v>
      </c>
      <c r="E14" s="308">
        <v>6</v>
      </c>
      <c r="F14" s="308">
        <v>3</v>
      </c>
      <c r="G14" s="308">
        <v>3</v>
      </c>
      <c r="H14" s="308">
        <v>41</v>
      </c>
      <c r="I14" s="308">
        <v>3</v>
      </c>
      <c r="J14" s="308"/>
      <c r="K14" s="308"/>
      <c r="L14" s="308"/>
      <c r="M14" s="308"/>
      <c r="N14" s="308"/>
      <c r="O14" s="308"/>
      <c r="P14" s="308"/>
      <c r="Q14" s="308"/>
      <c r="R14" s="308"/>
      <c r="S14" s="308"/>
      <c r="T14" s="308"/>
      <c r="U14" s="308"/>
      <c r="V14" s="233">
        <v>-36</v>
      </c>
      <c r="W14" s="233">
        <v>6</v>
      </c>
      <c r="X14" s="233">
        <v>-5</v>
      </c>
      <c r="Y14" s="233">
        <v>-3</v>
      </c>
      <c r="Z14" s="233">
        <v>38</v>
      </c>
      <c r="AA14" s="233">
        <v>0</v>
      </c>
      <c r="AB14" s="233">
        <v>-41</v>
      </c>
      <c r="AC14" s="233">
        <v>-3</v>
      </c>
      <c r="AD14" s="233">
        <v>0</v>
      </c>
      <c r="AE14" s="233">
        <v>0</v>
      </c>
      <c r="AF14" s="233">
        <v>0</v>
      </c>
      <c r="AG14" s="233">
        <v>0</v>
      </c>
      <c r="AH14" s="233">
        <v>0</v>
      </c>
      <c r="AI14" s="233">
        <v>0</v>
      </c>
      <c r="AJ14" s="233">
        <v>0</v>
      </c>
      <c r="AK14" s="233">
        <v>0</v>
      </c>
      <c r="AL14" s="233">
        <v>0</v>
      </c>
      <c r="AM14" s="233">
        <v>0</v>
      </c>
    </row>
    <row r="15" spans="1:41" ht="15" customHeight="1" x14ac:dyDescent="0.2">
      <c r="A15" s="171" t="s">
        <v>123</v>
      </c>
      <c r="B15" s="122">
        <v>2520</v>
      </c>
      <c r="C15" s="122">
        <v>2668</v>
      </c>
      <c r="D15" s="122">
        <v>2887</v>
      </c>
      <c r="E15" s="122">
        <v>3835</v>
      </c>
      <c r="F15" s="122">
        <v>3715</v>
      </c>
      <c r="G15" s="122">
        <v>3812</v>
      </c>
      <c r="H15" s="122">
        <v>4044</v>
      </c>
      <c r="I15" s="122">
        <v>4122</v>
      </c>
      <c r="J15" s="122">
        <v>3018</v>
      </c>
      <c r="K15" s="122">
        <v>2154</v>
      </c>
      <c r="L15" s="122">
        <v>1087</v>
      </c>
      <c r="M15" s="122">
        <v>715</v>
      </c>
      <c r="N15" s="122">
        <v>1030</v>
      </c>
      <c r="O15" s="122">
        <v>951</v>
      </c>
      <c r="P15" s="122">
        <v>455</v>
      </c>
      <c r="Q15" s="122">
        <v>805</v>
      </c>
      <c r="R15" s="122">
        <v>2149</v>
      </c>
      <c r="S15" s="427">
        <v>1719</v>
      </c>
      <c r="T15" s="122">
        <v>867</v>
      </c>
      <c r="U15" s="122">
        <v>1282</v>
      </c>
      <c r="V15" s="233">
        <v>-367</v>
      </c>
      <c r="W15" s="233">
        <v>-1167</v>
      </c>
      <c r="X15" s="233">
        <v>-828</v>
      </c>
      <c r="Y15" s="233">
        <v>23</v>
      </c>
      <c r="Z15" s="233">
        <v>-329</v>
      </c>
      <c r="AA15" s="233">
        <v>-310</v>
      </c>
      <c r="AB15" s="233">
        <v>1026</v>
      </c>
      <c r="AC15" s="233">
        <v>1968</v>
      </c>
      <c r="AD15" s="233">
        <v>1931</v>
      </c>
      <c r="AE15" s="233">
        <v>2119</v>
      </c>
      <c r="AF15" s="233">
        <v>-25</v>
      </c>
      <c r="AG15" s="233">
        <v>-380</v>
      </c>
      <c r="AH15" s="233">
        <v>-889</v>
      </c>
      <c r="AI15" s="233">
        <v>-652</v>
      </c>
      <c r="AJ15" s="233">
        <v>-216</v>
      </c>
      <c r="AK15" s="233">
        <v>914</v>
      </c>
      <c r="AL15" s="233">
        <v>-1282</v>
      </c>
      <c r="AM15" s="233">
        <v>437</v>
      </c>
      <c r="AN15" s="43"/>
      <c r="AO15" s="43"/>
    </row>
    <row r="16" spans="1:41" ht="15" customHeight="1" x14ac:dyDescent="0.2">
      <c r="A16" s="171" t="s">
        <v>636</v>
      </c>
      <c r="B16" s="126"/>
      <c r="C16" s="126"/>
      <c r="D16" s="126"/>
      <c r="E16" s="126"/>
      <c r="F16" s="126"/>
      <c r="G16" s="126"/>
      <c r="H16" s="126"/>
      <c r="I16" s="126"/>
      <c r="J16" s="126"/>
      <c r="K16" s="126"/>
      <c r="L16" s="126"/>
      <c r="M16" s="126"/>
      <c r="N16" s="126">
        <v>1030</v>
      </c>
      <c r="O16" s="126"/>
      <c r="P16" s="126">
        <v>739</v>
      </c>
      <c r="Q16" s="126"/>
      <c r="R16" s="126"/>
      <c r="S16" s="126"/>
      <c r="T16" s="126"/>
      <c r="U16" s="126"/>
      <c r="V16" s="233"/>
      <c r="W16" s="233"/>
      <c r="X16" s="233"/>
      <c r="Y16" s="233"/>
      <c r="Z16" s="233"/>
      <c r="AA16" s="233"/>
      <c r="AB16" s="233"/>
      <c r="AC16" s="233"/>
      <c r="AD16" s="233"/>
      <c r="AE16" s="233"/>
      <c r="AF16" s="233"/>
      <c r="AG16" s="233"/>
      <c r="AH16" s="233"/>
      <c r="AI16" s="233"/>
      <c r="AJ16" s="233"/>
      <c r="AK16" s="233"/>
      <c r="AL16" s="233"/>
      <c r="AM16" s="233"/>
      <c r="AO16" s="43"/>
    </row>
    <row r="17" spans="1:39" ht="15" customHeight="1" x14ac:dyDescent="0.2">
      <c r="A17" s="167" t="s">
        <v>252</v>
      </c>
      <c r="B17" s="203"/>
      <c r="C17" s="203"/>
      <c r="D17" s="203"/>
      <c r="E17" s="203"/>
      <c r="F17" s="203"/>
      <c r="G17" s="203"/>
      <c r="H17" s="308">
        <v>147</v>
      </c>
      <c r="I17" s="308"/>
      <c r="J17" s="308">
        <v>119</v>
      </c>
      <c r="K17" s="308"/>
      <c r="L17" s="308"/>
      <c r="M17" s="308"/>
      <c r="N17" s="308"/>
      <c r="O17" s="308"/>
      <c r="P17" s="308"/>
      <c r="Q17" s="308"/>
      <c r="R17" s="308"/>
      <c r="S17" s="308"/>
      <c r="T17" s="308"/>
      <c r="U17" s="308"/>
      <c r="V17" s="234"/>
      <c r="W17" s="234"/>
      <c r="X17" s="234"/>
      <c r="Y17" s="234"/>
      <c r="Z17" s="234"/>
      <c r="AA17" s="234"/>
      <c r="AB17" s="234"/>
      <c r="AC17" s="234"/>
      <c r="AD17" s="234"/>
      <c r="AE17" s="234"/>
      <c r="AF17" s="234"/>
      <c r="AG17" s="234"/>
      <c r="AH17" s="234"/>
      <c r="AI17" s="234"/>
      <c r="AJ17" s="234"/>
      <c r="AK17" s="234"/>
      <c r="AL17" s="234"/>
      <c r="AM17" s="234"/>
    </row>
    <row r="18" spans="1:39" ht="15" customHeight="1" x14ac:dyDescent="0.2">
      <c r="A18" s="205" t="s">
        <v>124</v>
      </c>
      <c r="B18" s="128"/>
      <c r="C18" s="128"/>
      <c r="D18" s="128">
        <v>367</v>
      </c>
      <c r="E18" s="128">
        <v>948</v>
      </c>
      <c r="F18" s="128">
        <v>828</v>
      </c>
      <c r="G18" s="128">
        <v>97</v>
      </c>
      <c r="H18" s="128">
        <v>329</v>
      </c>
      <c r="I18" s="128">
        <v>78</v>
      </c>
      <c r="J18" s="128">
        <v>-1026</v>
      </c>
      <c r="K18" s="128">
        <v>-864</v>
      </c>
      <c r="L18" s="128">
        <v>-1931</v>
      </c>
      <c r="M18" s="128">
        <v>-372</v>
      </c>
      <c r="N18" s="128">
        <v>-57</v>
      </c>
      <c r="O18" s="128">
        <v>-79</v>
      </c>
      <c r="P18" s="128">
        <v>-575</v>
      </c>
      <c r="Q18" s="128">
        <v>350</v>
      </c>
      <c r="R18" s="128">
        <v>1694</v>
      </c>
      <c r="S18" s="128">
        <v>-430</v>
      </c>
      <c r="T18" s="128">
        <v>-1282</v>
      </c>
      <c r="U18" s="128">
        <f>U15-T15</f>
        <v>415</v>
      </c>
      <c r="V18" s="235"/>
      <c r="W18" s="235"/>
      <c r="X18" s="235"/>
      <c r="Y18" s="235"/>
      <c r="Z18" s="235"/>
      <c r="AA18" s="235"/>
      <c r="AB18" s="235"/>
      <c r="AC18" s="235"/>
      <c r="AD18" s="235"/>
      <c r="AE18" s="235"/>
      <c r="AF18" s="235"/>
      <c r="AG18" s="235"/>
      <c r="AH18" s="235"/>
      <c r="AI18" s="235"/>
      <c r="AJ18" s="235"/>
      <c r="AK18" s="235"/>
      <c r="AL18" s="235"/>
      <c r="AM18" s="235"/>
    </row>
    <row r="19" spans="1:39" x14ac:dyDescent="0.2">
      <c r="A19" s="231" t="s">
        <v>55</v>
      </c>
      <c r="D19" s="232"/>
      <c r="E19" s="232"/>
      <c r="F19" s="232"/>
      <c r="G19" s="232"/>
      <c r="H19" s="232"/>
      <c r="I19" s="232"/>
      <c r="J19" s="232"/>
      <c r="K19" s="232"/>
      <c r="L19" s="232"/>
      <c r="M19" s="232"/>
      <c r="N19" s="232"/>
      <c r="O19" s="232"/>
      <c r="P19" s="232"/>
      <c r="Q19" s="232"/>
      <c r="R19" s="232"/>
      <c r="S19" s="232"/>
      <c r="T19" s="232"/>
      <c r="U19" s="232"/>
    </row>
    <row r="20" spans="1:39" x14ac:dyDescent="0.2">
      <c r="A20" s="231"/>
      <c r="K20" s="232"/>
      <c r="L20" s="232"/>
      <c r="M20" s="232"/>
      <c r="N20" s="232"/>
      <c r="O20" s="232"/>
      <c r="P20" s="232"/>
      <c r="Q20" s="232"/>
      <c r="R20" s="232"/>
      <c r="S20" s="232"/>
      <c r="T20" s="232"/>
      <c r="U20" s="232"/>
    </row>
    <row r="21" spans="1:39" x14ac:dyDescent="0.2">
      <c r="A21" s="323" t="s">
        <v>56</v>
      </c>
      <c r="K21" s="232"/>
      <c r="L21" s="232"/>
      <c r="M21" s="232"/>
      <c r="N21" s="232"/>
      <c r="O21" s="232"/>
      <c r="P21" s="232"/>
      <c r="Q21" s="232"/>
      <c r="R21" s="232"/>
      <c r="S21" s="232"/>
      <c r="T21" s="232"/>
      <c r="U21" s="232"/>
    </row>
    <row r="22" spans="1:39" s="25" customFormat="1" ht="25.5" x14ac:dyDescent="0.2">
      <c r="A22" s="210" t="s">
        <v>413</v>
      </c>
      <c r="B22" s="228"/>
      <c r="C22" s="228"/>
      <c r="D22" s="228"/>
      <c r="E22" s="228"/>
      <c r="F22" s="228"/>
      <c r="G22" s="228"/>
      <c r="H22" s="228"/>
      <c r="I22" s="228"/>
      <c r="J22" s="228"/>
      <c r="K22" s="228"/>
      <c r="L22" s="228"/>
      <c r="M22" s="228"/>
      <c r="N22" s="228"/>
      <c r="O22" s="228"/>
      <c r="P22" s="228"/>
      <c r="Q22" s="228"/>
      <c r="R22" s="228"/>
      <c r="S22" s="228"/>
      <c r="T22" s="228"/>
      <c r="U22" s="228"/>
      <c r="AC22" s="26"/>
    </row>
    <row r="23" spans="1:39" s="25" customFormat="1" ht="25.5" x14ac:dyDescent="0.2">
      <c r="A23" s="210" t="s">
        <v>414</v>
      </c>
      <c r="B23" s="228"/>
      <c r="C23" s="228"/>
      <c r="D23" s="228"/>
      <c r="E23" s="228"/>
      <c r="F23" s="228"/>
      <c r="G23" s="228"/>
      <c r="H23" s="228"/>
      <c r="I23" s="228"/>
      <c r="J23" s="228"/>
      <c r="K23" s="228"/>
      <c r="L23" s="228"/>
      <c r="M23" s="228"/>
      <c r="N23" s="228"/>
      <c r="O23" s="228"/>
      <c r="P23" s="228"/>
      <c r="Q23" s="228"/>
      <c r="R23" s="228"/>
      <c r="S23" s="228"/>
      <c r="T23" s="228"/>
      <c r="U23" s="228"/>
      <c r="AC23" s="26"/>
    </row>
    <row r="24" spans="1:39" x14ac:dyDescent="0.2">
      <c r="L24" s="232"/>
      <c r="M24" s="232"/>
      <c r="N24" s="232"/>
      <c r="O24" s="232"/>
      <c r="P24" s="232"/>
      <c r="Q24" s="232"/>
      <c r="R24" s="232"/>
      <c r="S24" s="232"/>
      <c r="T24" s="232"/>
      <c r="U24" s="232"/>
    </row>
    <row r="25" spans="1:39" x14ac:dyDescent="0.2">
      <c r="P25" s="232"/>
      <c r="Q25" s="232"/>
      <c r="R25" s="232"/>
      <c r="S25" s="232"/>
      <c r="T25" s="232"/>
      <c r="U25" s="232"/>
    </row>
    <row r="27" spans="1:39" x14ac:dyDescent="0.2">
      <c r="P27" s="232"/>
      <c r="Q27" s="232"/>
      <c r="R27" s="232"/>
      <c r="S27" s="232"/>
      <c r="T27" s="232"/>
      <c r="U27" s="232"/>
    </row>
  </sheetData>
  <customSheetViews>
    <customSheetView guid="{0879B2E0-1447-4BF4-B278-DFA3BD4BF3E7}" showPageBreaks="1" fitToPage="1" printArea="1" hiddenColumns="1" view="pageBreakPreview">
      <selection activeCell="A25" sqref="A25"/>
      <pageMargins left="0.7" right="0.7" top="0.75" bottom="0.75" header="0.3" footer="0.3"/>
      <pageSetup paperSize="9" scale="74" orientation="landscape" r:id="rId1"/>
    </customSheetView>
    <customSheetView guid="{B24A12A4-9623-4099-956E-0B4C7C8D3F73}" scale="85" showPageBreaks="1" fitToPage="1" printArea="1" hiddenColumns="1" view="pageBreakPreview">
      <selection activeCell="AB5" sqref="AB5"/>
      <pageMargins left="0.7" right="0.7" top="0.75" bottom="0.75" header="0.3" footer="0.3"/>
      <pageSetup paperSize="9" scale="92" orientation="landscape" r:id="rId2"/>
    </customSheetView>
    <customSheetView guid="{93BA635E-1664-4099-8295-6B100E16362A}" scale="85" showPageBreaks="1" fitToPage="1" printArea="1" hiddenColumns="1" view="pageBreakPreview">
      <selection activeCell="AB5" sqref="AB5"/>
      <pageMargins left="0.7" right="0.7" top="0.75" bottom="0.75" header="0.3" footer="0.3"/>
      <pageSetup paperSize="9" scale="92" orientation="landscape" r:id="rId3"/>
    </customSheetView>
  </customSheetViews>
  <mergeCells count="1">
    <mergeCell ref="V1:AE1"/>
  </mergeCells>
  <hyperlinks>
    <hyperlink ref="AN2" location="MENU!A1" display="MENU"/>
  </hyperlinks>
  <pageMargins left="0.7" right="0.7" top="0.75" bottom="0.75" header="0.3" footer="0.3"/>
  <pageSetup paperSize="9" scale="61"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304129"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304129" r:id="rId10"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tabColor rgb="FF236CB0"/>
    <pageSetUpPr fitToPage="1"/>
  </sheetPr>
  <dimension ref="A1:AC19"/>
  <sheetViews>
    <sheetView view="pageBreakPreview" zoomScale="55" zoomScaleNormal="85" zoomScaleSheetLayoutView="55" zoomScalePageLayoutView="85" workbookViewId="0">
      <selection sqref="A1:AA19"/>
    </sheetView>
  </sheetViews>
  <sheetFormatPr defaultColWidth="8.85546875" defaultRowHeight="12.75" outlineLevelRow="1" outlineLevelCol="1" x14ac:dyDescent="0.2"/>
  <cols>
    <col min="1" max="1" width="37.28515625" style="22" customWidth="1"/>
    <col min="2" max="14" width="7.7109375" style="64" customWidth="1"/>
    <col min="15" max="15" width="8.85546875" style="22"/>
    <col min="16" max="27" width="10.7109375" style="228" hidden="1" customWidth="1" outlineLevel="1"/>
    <col min="28" max="28" width="8.85546875" style="22" customWidth="1" collapsed="1"/>
    <col min="29" max="16384" width="8.85546875" style="22"/>
  </cols>
  <sheetData>
    <row r="1" spans="1:29" s="20" customFormat="1" ht="30" customHeight="1" x14ac:dyDescent="0.25">
      <c r="A1" s="538" t="s">
        <v>16</v>
      </c>
      <c r="B1" s="536"/>
      <c r="C1" s="536"/>
      <c r="D1" s="536"/>
      <c r="E1" s="536"/>
      <c r="F1" s="536"/>
      <c r="G1" s="536"/>
      <c r="H1" s="536"/>
      <c r="I1" s="536"/>
      <c r="J1" s="536"/>
      <c r="K1" s="536"/>
      <c r="L1" s="536"/>
      <c r="M1" s="536"/>
      <c r="N1" s="536"/>
      <c r="O1" s="541"/>
      <c r="P1" s="539"/>
      <c r="Q1" s="539"/>
      <c r="R1" s="539"/>
      <c r="S1" s="539"/>
      <c r="T1" s="539"/>
      <c r="U1" s="539"/>
      <c r="V1" s="539"/>
      <c r="W1" s="539"/>
      <c r="X1" s="539"/>
      <c r="Y1" s="539"/>
      <c r="Z1" s="539"/>
      <c r="AA1" s="539"/>
      <c r="AB1" s="540"/>
    </row>
    <row r="2" spans="1:29" s="108" customFormat="1" ht="30" customHeight="1" thickBot="1" x14ac:dyDescent="0.3">
      <c r="A2" s="403" t="s">
        <v>177</v>
      </c>
      <c r="B2" s="23">
        <v>2012</v>
      </c>
      <c r="C2" s="23" t="s">
        <v>211</v>
      </c>
      <c r="D2" s="23">
        <v>2013</v>
      </c>
      <c r="E2" s="23" t="s">
        <v>212</v>
      </c>
      <c r="F2" s="23">
        <v>2014</v>
      </c>
      <c r="G2" s="23" t="s">
        <v>213</v>
      </c>
      <c r="H2" s="23">
        <v>2015</v>
      </c>
      <c r="I2" s="23" t="s">
        <v>343</v>
      </c>
      <c r="J2" s="23">
        <v>2016</v>
      </c>
      <c r="K2" s="23" t="s">
        <v>405</v>
      </c>
      <c r="L2" s="23">
        <v>2017</v>
      </c>
      <c r="M2" s="23" t="s">
        <v>431</v>
      </c>
      <c r="N2" s="23">
        <v>2018</v>
      </c>
      <c r="O2" s="404" t="s">
        <v>577</v>
      </c>
      <c r="P2" s="23" t="s">
        <v>253</v>
      </c>
      <c r="Q2" s="23" t="s">
        <v>254</v>
      </c>
      <c r="R2" s="23" t="s">
        <v>255</v>
      </c>
      <c r="S2" s="23" t="s">
        <v>256</v>
      </c>
      <c r="T2" s="23" t="s">
        <v>336</v>
      </c>
      <c r="U2" s="23" t="s">
        <v>342</v>
      </c>
      <c r="V2" s="346" t="s">
        <v>368</v>
      </c>
      <c r="W2" s="346" t="s">
        <v>409</v>
      </c>
      <c r="X2" s="346" t="s">
        <v>419</v>
      </c>
      <c r="Y2" s="23" t="s">
        <v>435</v>
      </c>
      <c r="Z2" s="23" t="s">
        <v>490</v>
      </c>
      <c r="AA2" s="23" t="s">
        <v>588</v>
      </c>
      <c r="AB2" s="542"/>
    </row>
    <row r="3" spans="1:29" ht="15" customHeight="1" thickBot="1" x14ac:dyDescent="0.25">
      <c r="A3" s="543" t="s">
        <v>47</v>
      </c>
      <c r="B3" s="184">
        <v>2234</v>
      </c>
      <c r="C3" s="184">
        <v>464.41005802707929</v>
      </c>
      <c r="D3" s="184">
        <v>1679</v>
      </c>
      <c r="E3" s="184">
        <v>215</v>
      </c>
      <c r="F3" s="184">
        <v>1076</v>
      </c>
      <c r="G3" s="184">
        <v>368.67416499574256</v>
      </c>
      <c r="H3" s="184">
        <v>989</v>
      </c>
      <c r="I3" s="184">
        <v>402</v>
      </c>
      <c r="J3" s="184">
        <v>884</v>
      </c>
      <c r="K3" s="184">
        <v>319</v>
      </c>
      <c r="L3" s="184">
        <v>860</v>
      </c>
      <c r="M3" s="184">
        <v>220</v>
      </c>
      <c r="N3" s="184">
        <v>696</v>
      </c>
      <c r="O3" s="544">
        <v>165</v>
      </c>
      <c r="P3" s="565">
        <v>-0.24843330349149506</v>
      </c>
      <c r="Q3" s="565">
        <v>-0.53704706372344857</v>
      </c>
      <c r="R3" s="565">
        <v>-0.35914234663490174</v>
      </c>
      <c r="S3" s="565">
        <v>0.71476355811973291</v>
      </c>
      <c r="T3" s="565">
        <v>-8.085501858736055E-2</v>
      </c>
      <c r="U3" s="565">
        <v>9.0393735630057703E-2</v>
      </c>
      <c r="V3" s="565">
        <v>-0.10616784630940346</v>
      </c>
      <c r="W3" s="565">
        <v>-0.20646766169154229</v>
      </c>
      <c r="X3" s="565">
        <v>-2.714932126696834E-2</v>
      </c>
      <c r="Y3" s="565">
        <v>-0.31034482758620685</v>
      </c>
      <c r="Z3" s="565">
        <v>-8.085501858736055E-2</v>
      </c>
      <c r="AA3" s="565">
        <v>-0.33817427385892118</v>
      </c>
      <c r="AB3" s="107" t="s">
        <v>215</v>
      </c>
      <c r="AC3" s="391"/>
    </row>
    <row r="4" spans="1:29" ht="15" customHeight="1" outlineLevel="1" x14ac:dyDescent="0.2">
      <c r="A4" s="476" t="s">
        <v>125</v>
      </c>
      <c r="B4" s="373"/>
      <c r="C4" s="373"/>
      <c r="D4" s="373"/>
      <c r="E4" s="373"/>
      <c r="F4" s="373"/>
      <c r="G4" s="373"/>
      <c r="H4" s="373"/>
      <c r="I4" s="373"/>
      <c r="J4" s="373"/>
      <c r="K4" s="373"/>
      <c r="L4" s="373"/>
      <c r="M4" s="373"/>
      <c r="N4" s="373"/>
      <c r="O4" s="545"/>
      <c r="P4" s="53"/>
      <c r="Q4" s="53"/>
      <c r="R4" s="53"/>
      <c r="S4" s="53"/>
      <c r="T4" s="53"/>
      <c r="U4" s="53"/>
      <c r="V4" s="53"/>
      <c r="W4" s="53"/>
      <c r="X4" s="53"/>
      <c r="Y4" s="53"/>
      <c r="Z4" s="53"/>
      <c r="AA4" s="53"/>
      <c r="AB4" s="373"/>
      <c r="AC4" s="391"/>
    </row>
    <row r="5" spans="1:29" ht="15" customHeight="1" outlineLevel="1" x14ac:dyDescent="0.2">
      <c r="A5" s="546" t="s">
        <v>126</v>
      </c>
      <c r="B5" s="373">
        <v>215</v>
      </c>
      <c r="C5" s="373">
        <v>72.973301289650223</v>
      </c>
      <c r="D5" s="373">
        <v>335</v>
      </c>
      <c r="E5" s="373">
        <v>25</v>
      </c>
      <c r="F5" s="373">
        <v>122</v>
      </c>
      <c r="G5" s="373">
        <v>87.634329736836264</v>
      </c>
      <c r="H5" s="373">
        <v>256</v>
      </c>
      <c r="I5" s="373">
        <v>30</v>
      </c>
      <c r="J5" s="373">
        <v>153</v>
      </c>
      <c r="K5" s="373">
        <v>36</v>
      </c>
      <c r="L5" s="566">
        <v>216</v>
      </c>
      <c r="M5" s="373">
        <v>42</v>
      </c>
      <c r="N5" s="373">
        <v>218</v>
      </c>
      <c r="O5" s="545">
        <v>17</v>
      </c>
      <c r="P5" s="53">
        <v>0.55813953488372103</v>
      </c>
      <c r="Q5" s="53">
        <v>-0.65740894877746547</v>
      </c>
      <c r="R5" s="53">
        <v>-0.63582089552238807</v>
      </c>
      <c r="S5" s="53">
        <v>2.5053731894734508</v>
      </c>
      <c r="T5" s="53">
        <v>1.098360655737705</v>
      </c>
      <c r="U5" s="53">
        <v>-0.65766840358008949</v>
      </c>
      <c r="V5" s="53">
        <v>-0.40234375</v>
      </c>
      <c r="W5" s="53">
        <v>0.19999999999999996</v>
      </c>
      <c r="X5" s="53">
        <v>0.41176470588235303</v>
      </c>
      <c r="Y5" s="53">
        <v>-0.5</v>
      </c>
      <c r="Z5" s="53">
        <v>1.098360655737705</v>
      </c>
      <c r="AA5" s="53">
        <v>-0.70731707317073167</v>
      </c>
      <c r="AB5" s="373"/>
      <c r="AC5" s="30"/>
    </row>
    <row r="6" spans="1:29" ht="15" customHeight="1" outlineLevel="1" x14ac:dyDescent="0.2">
      <c r="A6" s="546" t="s">
        <v>127</v>
      </c>
      <c r="B6" s="373">
        <v>72</v>
      </c>
      <c r="C6" s="373">
        <v>42.073056415215987</v>
      </c>
      <c r="D6" s="373">
        <v>59</v>
      </c>
      <c r="E6" s="373">
        <v>26</v>
      </c>
      <c r="F6" s="373">
        <v>68</v>
      </c>
      <c r="G6" s="373">
        <v>24.244873208460987</v>
      </c>
      <c r="H6" s="373">
        <v>72</v>
      </c>
      <c r="I6" s="373">
        <v>28</v>
      </c>
      <c r="J6" s="373">
        <v>68</v>
      </c>
      <c r="K6" s="373">
        <v>29</v>
      </c>
      <c r="L6" s="566">
        <v>93</v>
      </c>
      <c r="M6" s="373">
        <v>31</v>
      </c>
      <c r="N6" s="373">
        <v>71</v>
      </c>
      <c r="O6" s="545">
        <v>34</v>
      </c>
      <c r="P6" s="53">
        <v>-0.18055555555555558</v>
      </c>
      <c r="Q6" s="53">
        <v>-0.38202730642129112</v>
      </c>
      <c r="R6" s="53">
        <v>0.15254237288135597</v>
      </c>
      <c r="S6" s="53">
        <v>-6.7504876597654362E-2</v>
      </c>
      <c r="T6" s="53">
        <v>5.8823529411764719E-2</v>
      </c>
      <c r="U6" s="53">
        <v>0.15488333385998265</v>
      </c>
      <c r="V6" s="53">
        <v>-5.555555555555558E-2</v>
      </c>
      <c r="W6" s="53">
        <v>3.5714285714285809E-2</v>
      </c>
      <c r="X6" s="53">
        <v>0.36764705882352944</v>
      </c>
      <c r="Y6" s="53">
        <v>-0.55172413793103448</v>
      </c>
      <c r="Z6" s="53">
        <v>5.8823529411764719E-2</v>
      </c>
      <c r="AA6" s="53">
        <v>-0.27500000000000002</v>
      </c>
      <c r="AB6" s="373"/>
      <c r="AC6" s="391"/>
    </row>
    <row r="7" spans="1:29" ht="15" customHeight="1" outlineLevel="1" x14ac:dyDescent="0.2">
      <c r="A7" s="546" t="s">
        <v>128</v>
      </c>
      <c r="B7" s="373">
        <v>64</v>
      </c>
      <c r="C7" s="373">
        <v>28</v>
      </c>
      <c r="D7" s="373">
        <v>56</v>
      </c>
      <c r="E7" s="373">
        <v>21</v>
      </c>
      <c r="F7" s="373">
        <v>73</v>
      </c>
      <c r="G7" s="373">
        <v>10.51817115062113</v>
      </c>
      <c r="H7" s="373">
        <v>45</v>
      </c>
      <c r="I7" s="373">
        <v>27</v>
      </c>
      <c r="J7" s="373">
        <v>40</v>
      </c>
      <c r="K7" s="373">
        <v>4</v>
      </c>
      <c r="L7" s="566">
        <v>18</v>
      </c>
      <c r="M7" s="373">
        <v>17</v>
      </c>
      <c r="N7" s="373">
        <v>44</v>
      </c>
      <c r="O7" s="545">
        <v>17</v>
      </c>
      <c r="P7" s="53">
        <v>-0.125</v>
      </c>
      <c r="Q7" s="53">
        <v>-0.25</v>
      </c>
      <c r="R7" s="53">
        <v>0.3035714285714286</v>
      </c>
      <c r="S7" s="53">
        <v>-0.49913470711327945</v>
      </c>
      <c r="T7" s="53">
        <v>-0.38356164383561642</v>
      </c>
      <c r="U7" s="53">
        <v>1.5669861816619677</v>
      </c>
      <c r="V7" s="53">
        <v>-0.11111111111111116</v>
      </c>
      <c r="W7" s="53">
        <v>-0.85185185185185186</v>
      </c>
      <c r="X7" s="53">
        <v>-0.55000000000000004</v>
      </c>
      <c r="Y7" s="53">
        <v>-0.5</v>
      </c>
      <c r="Z7" s="53">
        <v>-0.38356164383561642</v>
      </c>
      <c r="AA7" s="53">
        <v>-0.69230769230769229</v>
      </c>
      <c r="AB7" s="373"/>
      <c r="AC7" s="391"/>
    </row>
    <row r="8" spans="1:29" ht="15" customHeight="1" outlineLevel="1" x14ac:dyDescent="0.2">
      <c r="A8" s="546" t="s">
        <v>129</v>
      </c>
      <c r="B8" s="373">
        <v>89</v>
      </c>
      <c r="C8" s="373">
        <v>49</v>
      </c>
      <c r="D8" s="373">
        <v>96</v>
      </c>
      <c r="E8" s="373">
        <v>23</v>
      </c>
      <c r="F8" s="373">
        <v>85</v>
      </c>
      <c r="G8" s="373">
        <v>19.263110567509241</v>
      </c>
      <c r="H8" s="373">
        <v>70</v>
      </c>
      <c r="I8" s="373">
        <v>24</v>
      </c>
      <c r="J8" s="373">
        <v>59</v>
      </c>
      <c r="K8" s="373">
        <v>35</v>
      </c>
      <c r="L8" s="566">
        <v>69</v>
      </c>
      <c r="M8" s="373">
        <v>21</v>
      </c>
      <c r="N8" s="373">
        <v>40</v>
      </c>
      <c r="O8" s="545">
        <v>11</v>
      </c>
      <c r="P8" s="53">
        <v>7.8651685393258397E-2</v>
      </c>
      <c r="Q8" s="53">
        <v>-0.53061224489795911</v>
      </c>
      <c r="R8" s="53">
        <v>-0.11458333333333337</v>
      </c>
      <c r="S8" s="53">
        <v>-0.16247345358655474</v>
      </c>
      <c r="T8" s="53">
        <v>-0.17647058823529416</v>
      </c>
      <c r="U8" s="53">
        <v>0.24590470038003054</v>
      </c>
      <c r="V8" s="53">
        <v>-0.15714285714285714</v>
      </c>
      <c r="W8" s="53">
        <v>0.45833333333333326</v>
      </c>
      <c r="X8" s="53">
        <v>0.16949152542372881</v>
      </c>
      <c r="Y8" s="53">
        <v>-0.74285714285714288</v>
      </c>
      <c r="Z8" s="53">
        <v>-0.17647058823529416</v>
      </c>
      <c r="AA8" s="53">
        <v>0</v>
      </c>
      <c r="AB8" s="373"/>
      <c r="AC8" s="391"/>
    </row>
    <row r="9" spans="1:29" ht="15" customHeight="1" outlineLevel="1" x14ac:dyDescent="0.2">
      <c r="A9" s="546" t="s">
        <v>410</v>
      </c>
      <c r="B9" s="373">
        <v>55</v>
      </c>
      <c r="C9" s="373">
        <v>43</v>
      </c>
      <c r="D9" s="373">
        <v>182</v>
      </c>
      <c r="E9" s="373">
        <v>38</v>
      </c>
      <c r="F9" s="373">
        <v>171</v>
      </c>
      <c r="G9" s="373">
        <v>83.744423604611654</v>
      </c>
      <c r="H9" s="373">
        <v>257</v>
      </c>
      <c r="I9" s="373">
        <v>114</v>
      </c>
      <c r="J9" s="373">
        <v>253</v>
      </c>
      <c r="K9" s="373">
        <v>53</v>
      </c>
      <c r="L9" s="566">
        <v>89</v>
      </c>
      <c r="M9" s="373">
        <v>17</v>
      </c>
      <c r="N9" s="373">
        <v>29</v>
      </c>
      <c r="O9" s="545">
        <v>8</v>
      </c>
      <c r="P9" s="53">
        <v>2.3090909090909091</v>
      </c>
      <c r="Q9" s="53">
        <v>-0.11627906976744184</v>
      </c>
      <c r="R9" s="53">
        <v>-6.0439560439560447E-2</v>
      </c>
      <c r="S9" s="53">
        <v>1.2038006211739911</v>
      </c>
      <c r="T9" s="53">
        <v>0.50292397660818722</v>
      </c>
      <c r="U9" s="53">
        <v>0.36128466939167314</v>
      </c>
      <c r="V9" s="53">
        <v>-1.5564202334630295E-2</v>
      </c>
      <c r="W9" s="53">
        <v>-0.53508771929824561</v>
      </c>
      <c r="X9" s="53">
        <v>-0.64822134387351782</v>
      </c>
      <c r="Y9" s="53">
        <v>-0.86792452830188682</v>
      </c>
      <c r="Z9" s="53">
        <v>0.50292397660818722</v>
      </c>
      <c r="AA9" s="53">
        <v>-0.61870503597122295</v>
      </c>
      <c r="AB9" s="373"/>
      <c r="AC9" s="391"/>
    </row>
    <row r="10" spans="1:29" ht="15" customHeight="1" outlineLevel="1" x14ac:dyDescent="0.2">
      <c r="A10" s="546" t="s">
        <v>130</v>
      </c>
      <c r="B10" s="373"/>
      <c r="C10" s="373"/>
      <c r="D10" s="373"/>
      <c r="E10" s="373">
        <v>4</v>
      </c>
      <c r="F10" s="373"/>
      <c r="G10" s="373">
        <v>20.473649427663641</v>
      </c>
      <c r="H10" s="373">
        <v>61</v>
      </c>
      <c r="I10" s="373">
        <v>11</v>
      </c>
      <c r="J10" s="373">
        <v>24</v>
      </c>
      <c r="K10" s="373">
        <v>6</v>
      </c>
      <c r="L10" s="566" t="s">
        <v>207</v>
      </c>
      <c r="M10" s="373" t="s">
        <v>207</v>
      </c>
      <c r="N10" s="373" t="s">
        <v>207</v>
      </c>
      <c r="O10" s="545" t="s">
        <v>207</v>
      </c>
      <c r="P10" s="53" t="s">
        <v>67</v>
      </c>
      <c r="Q10" s="53" t="s">
        <v>67</v>
      </c>
      <c r="R10" s="53" t="s">
        <v>67</v>
      </c>
      <c r="S10" s="53">
        <v>4.1184123569159103</v>
      </c>
      <c r="T10" s="53" t="s">
        <v>67</v>
      </c>
      <c r="U10" s="53">
        <v>4.1184123569159103</v>
      </c>
      <c r="V10" s="53" t="s">
        <v>67</v>
      </c>
      <c r="W10" s="53">
        <v>1.979439509088099</v>
      </c>
      <c r="X10" s="53">
        <v>-0.72857166153251662</v>
      </c>
      <c r="Y10" s="53">
        <v>-0.78688524590163933</v>
      </c>
      <c r="Z10" s="53">
        <v>1.1818181818181817</v>
      </c>
      <c r="AA10" s="53">
        <v>-0.53846153846153844</v>
      </c>
      <c r="AB10" s="373"/>
      <c r="AC10" s="391"/>
    </row>
    <row r="11" spans="1:29" ht="15" customHeight="1" outlineLevel="1" x14ac:dyDescent="0.2">
      <c r="A11" s="546" t="s">
        <v>466</v>
      </c>
      <c r="B11" s="373"/>
      <c r="C11" s="373"/>
      <c r="D11" s="373"/>
      <c r="E11" s="373"/>
      <c r="F11" s="373"/>
      <c r="G11" s="373"/>
      <c r="H11" s="373"/>
      <c r="I11" s="373"/>
      <c r="J11" s="373"/>
      <c r="K11" s="373"/>
      <c r="L11" s="566">
        <v>37</v>
      </c>
      <c r="M11" s="373">
        <v>9</v>
      </c>
      <c r="N11" s="373">
        <v>36</v>
      </c>
      <c r="O11" s="545">
        <v>4</v>
      </c>
      <c r="P11" s="53"/>
      <c r="Q11" s="53"/>
      <c r="R11" s="53"/>
      <c r="S11" s="53"/>
      <c r="T11" s="53"/>
      <c r="U11" s="53"/>
      <c r="V11" s="53"/>
      <c r="W11" s="53"/>
      <c r="X11" s="53"/>
      <c r="Y11" s="53"/>
      <c r="Z11" s="53"/>
      <c r="AA11" s="53"/>
      <c r="AB11" s="373"/>
      <c r="AC11" s="391"/>
    </row>
    <row r="12" spans="1:29" ht="15" customHeight="1" outlineLevel="1" x14ac:dyDescent="0.2">
      <c r="A12" s="546" t="s">
        <v>600</v>
      </c>
      <c r="B12" s="373"/>
      <c r="C12" s="373"/>
      <c r="D12" s="373"/>
      <c r="E12" s="373"/>
      <c r="F12" s="373"/>
      <c r="G12" s="373"/>
      <c r="H12" s="373"/>
      <c r="I12" s="373"/>
      <c r="J12" s="373"/>
      <c r="K12" s="373"/>
      <c r="L12" s="566">
        <v>338</v>
      </c>
      <c r="M12" s="373">
        <v>83</v>
      </c>
      <c r="N12" s="373">
        <v>258</v>
      </c>
      <c r="O12" s="545">
        <v>74</v>
      </c>
      <c r="P12" s="53"/>
      <c r="Q12" s="53"/>
      <c r="R12" s="53"/>
      <c r="S12" s="53"/>
      <c r="T12" s="53"/>
      <c r="U12" s="53"/>
      <c r="V12" s="53"/>
      <c r="W12" s="53"/>
      <c r="X12" s="53"/>
      <c r="Y12" s="53"/>
      <c r="Z12" s="53"/>
      <c r="AA12" s="53"/>
      <c r="AB12" s="373"/>
      <c r="AC12" s="391"/>
    </row>
    <row r="13" spans="1:29" ht="15" customHeight="1" x14ac:dyDescent="0.2">
      <c r="A13" s="547" t="s">
        <v>48</v>
      </c>
      <c r="B13" s="69">
        <v>182</v>
      </c>
      <c r="C13" s="184">
        <v>82</v>
      </c>
      <c r="D13" s="69">
        <v>117</v>
      </c>
      <c r="E13" s="69">
        <v>44</v>
      </c>
      <c r="F13" s="69">
        <v>106</v>
      </c>
      <c r="G13" s="237">
        <v>45.216955836798597</v>
      </c>
      <c r="H13" s="237">
        <v>118</v>
      </c>
      <c r="I13" s="237">
        <v>44</v>
      </c>
      <c r="J13" s="237">
        <v>89</v>
      </c>
      <c r="K13" s="237">
        <v>69</v>
      </c>
      <c r="L13" s="237">
        <v>228</v>
      </c>
      <c r="M13" s="237">
        <v>134</v>
      </c>
      <c r="N13" s="237">
        <v>292</v>
      </c>
      <c r="O13" s="548">
        <v>106</v>
      </c>
      <c r="P13" s="565">
        <v>-0.3571428571428571</v>
      </c>
      <c r="Q13" s="565">
        <v>-0.46341463414634143</v>
      </c>
      <c r="R13" s="565">
        <v>-9.4017094017094016E-2</v>
      </c>
      <c r="S13" s="565">
        <v>2.7658087199968096E-2</v>
      </c>
      <c r="T13" s="565">
        <v>0.1132075471698113</v>
      </c>
      <c r="U13" s="565">
        <v>-2.6913705584050152E-2</v>
      </c>
      <c r="V13" s="565">
        <v>-0.24576271186440679</v>
      </c>
      <c r="W13" s="565">
        <v>0.56818181818181812</v>
      </c>
      <c r="X13" s="565">
        <v>1.5617977528089888</v>
      </c>
      <c r="Y13" s="565">
        <v>0.94202898550724634</v>
      </c>
      <c r="Z13" s="565">
        <v>0.1132075471698113</v>
      </c>
      <c r="AA13" s="565">
        <v>0.53333333333333344</v>
      </c>
      <c r="AB13" s="237"/>
      <c r="AC13" s="391"/>
    </row>
    <row r="14" spans="1:29" ht="15" customHeight="1" x14ac:dyDescent="0.2">
      <c r="A14" s="543" t="s">
        <v>131</v>
      </c>
      <c r="B14" s="69">
        <v>212</v>
      </c>
      <c r="C14" s="184">
        <v>41</v>
      </c>
      <c r="D14" s="69">
        <v>163</v>
      </c>
      <c r="E14" s="69">
        <v>44</v>
      </c>
      <c r="F14" s="69">
        <v>89</v>
      </c>
      <c r="G14" s="237">
        <v>51.243438771148064</v>
      </c>
      <c r="H14" s="237">
        <v>107</v>
      </c>
      <c r="I14" s="237">
        <v>132</v>
      </c>
      <c r="J14" s="237">
        <v>269</v>
      </c>
      <c r="K14" s="237">
        <v>146</v>
      </c>
      <c r="L14" s="237">
        <v>449</v>
      </c>
      <c r="M14" s="237">
        <v>70</v>
      </c>
      <c r="N14" s="237">
        <v>168</v>
      </c>
      <c r="O14" s="548">
        <v>32</v>
      </c>
      <c r="P14" s="565">
        <v>-0.23113207547169812</v>
      </c>
      <c r="Q14" s="565">
        <v>7.3170731707317138E-2</v>
      </c>
      <c r="R14" s="565">
        <v>-0.45398773006134974</v>
      </c>
      <c r="S14" s="565">
        <v>0.16462360843518331</v>
      </c>
      <c r="T14" s="565">
        <v>0.202247191011236</v>
      </c>
      <c r="U14" s="565">
        <v>1.5759395381232855</v>
      </c>
      <c r="V14" s="565">
        <v>1.514018691588785</v>
      </c>
      <c r="W14" s="565">
        <v>0.10606060606060597</v>
      </c>
      <c r="X14" s="565">
        <v>0.66914498141263934</v>
      </c>
      <c r="Y14" s="565">
        <v>-0.52054794520547953</v>
      </c>
      <c r="Z14" s="565">
        <v>0.202247191011236</v>
      </c>
      <c r="AA14" s="565">
        <v>6.5693430656934337E-2</v>
      </c>
      <c r="AB14" s="237"/>
      <c r="AC14" s="391"/>
    </row>
    <row r="15" spans="1:29" ht="15" customHeight="1" x14ac:dyDescent="0.2">
      <c r="A15" s="543" t="s">
        <v>468</v>
      </c>
      <c r="B15" s="69"/>
      <c r="C15" s="184"/>
      <c r="D15" s="69"/>
      <c r="E15" s="69"/>
      <c r="F15" s="69"/>
      <c r="G15" s="237"/>
      <c r="H15" s="237"/>
      <c r="I15" s="237"/>
      <c r="J15" s="237"/>
      <c r="K15" s="237"/>
      <c r="L15" s="237">
        <v>453</v>
      </c>
      <c r="M15" s="237" t="s">
        <v>207</v>
      </c>
      <c r="N15" s="237">
        <v>386</v>
      </c>
      <c r="O15" s="548">
        <v>194</v>
      </c>
      <c r="P15" s="565"/>
      <c r="Q15" s="565"/>
      <c r="R15" s="565"/>
      <c r="S15" s="565"/>
      <c r="T15" s="565"/>
      <c r="U15" s="565"/>
      <c r="V15" s="565"/>
      <c r="W15" s="565"/>
      <c r="X15" s="565"/>
      <c r="Y15" s="565"/>
      <c r="Z15" s="565"/>
      <c r="AA15" s="565"/>
      <c r="AB15" s="237"/>
      <c r="AC15" s="391"/>
    </row>
    <row r="16" spans="1:29" ht="15" customHeight="1" x14ac:dyDescent="0.2">
      <c r="A16" s="543" t="s">
        <v>467</v>
      </c>
      <c r="B16" s="69"/>
      <c r="C16" s="184"/>
      <c r="D16" s="69"/>
      <c r="E16" s="69"/>
      <c r="F16" s="69"/>
      <c r="G16" s="237"/>
      <c r="H16" s="237"/>
      <c r="I16" s="237"/>
      <c r="J16" s="237"/>
      <c r="K16" s="237"/>
      <c r="L16" s="237">
        <v>12</v>
      </c>
      <c r="M16" s="237" t="s">
        <v>207</v>
      </c>
      <c r="N16" s="237">
        <v>11</v>
      </c>
      <c r="O16" s="548">
        <v>3</v>
      </c>
      <c r="P16" s="565"/>
      <c r="Q16" s="565"/>
      <c r="R16" s="565"/>
      <c r="S16" s="565"/>
      <c r="T16" s="565"/>
      <c r="U16" s="565"/>
      <c r="V16" s="565"/>
      <c r="W16" s="565"/>
      <c r="X16" s="565"/>
      <c r="Y16" s="565"/>
      <c r="Z16" s="565"/>
      <c r="AA16" s="565"/>
      <c r="AB16" s="237"/>
      <c r="AC16" s="391"/>
    </row>
    <row r="17" spans="1:29" ht="15" customHeight="1" outlineLevel="1" x14ac:dyDescent="0.2">
      <c r="A17" s="543" t="s">
        <v>27</v>
      </c>
      <c r="B17" s="69">
        <v>84</v>
      </c>
      <c r="C17" s="184">
        <v>297</v>
      </c>
      <c r="D17" s="69">
        <v>30</v>
      </c>
      <c r="E17" s="69">
        <v>188</v>
      </c>
      <c r="F17" s="69">
        <v>27</v>
      </c>
      <c r="G17" s="237">
        <v>103.86544039631077</v>
      </c>
      <c r="H17" s="237">
        <v>440</v>
      </c>
      <c r="I17" s="237">
        <v>128</v>
      </c>
      <c r="J17" s="237">
        <v>472</v>
      </c>
      <c r="K17" s="237">
        <v>177</v>
      </c>
      <c r="L17" s="237" t="s">
        <v>207</v>
      </c>
      <c r="M17" s="237">
        <v>112</v>
      </c>
      <c r="N17" s="237" t="s">
        <v>207</v>
      </c>
      <c r="O17" s="548" t="s">
        <v>207</v>
      </c>
      <c r="P17" s="565" t="s">
        <v>207</v>
      </c>
      <c r="Q17" s="565" t="s">
        <v>207</v>
      </c>
      <c r="R17" s="565" t="s">
        <v>207</v>
      </c>
      <c r="S17" s="565" t="s">
        <v>207</v>
      </c>
      <c r="T17" s="565" t="s">
        <v>207</v>
      </c>
      <c r="U17" s="565" t="s">
        <v>207</v>
      </c>
      <c r="V17" s="565" t="s">
        <v>207</v>
      </c>
      <c r="W17" s="565" t="s">
        <v>207</v>
      </c>
      <c r="X17" s="565" t="s">
        <v>207</v>
      </c>
      <c r="Y17" s="565" t="s">
        <v>207</v>
      </c>
      <c r="Z17" s="565" t="s">
        <v>207</v>
      </c>
      <c r="AA17" s="565" t="s">
        <v>207</v>
      </c>
      <c r="AB17" s="237"/>
      <c r="AC17" s="391"/>
    </row>
    <row r="18" spans="1:29" ht="15" customHeight="1" x14ac:dyDescent="0.2">
      <c r="A18" s="549" t="s">
        <v>116</v>
      </c>
      <c r="B18" s="537">
        <v>2712</v>
      </c>
      <c r="C18" s="537">
        <v>884.41005802707923</v>
      </c>
      <c r="D18" s="537">
        <v>1989</v>
      </c>
      <c r="E18" s="537">
        <v>491</v>
      </c>
      <c r="F18" s="537">
        <v>1298</v>
      </c>
      <c r="G18" s="537">
        <v>569</v>
      </c>
      <c r="H18" s="537">
        <v>1654</v>
      </c>
      <c r="I18" s="537">
        <v>706</v>
      </c>
      <c r="J18" s="537">
        <v>1714</v>
      </c>
      <c r="K18" s="537">
        <v>711</v>
      </c>
      <c r="L18" s="537">
        <v>2002</v>
      </c>
      <c r="M18" s="537">
        <v>536</v>
      </c>
      <c r="N18" s="537">
        <v>1553</v>
      </c>
      <c r="O18" s="550">
        <v>500</v>
      </c>
      <c r="P18" s="537">
        <v>-0.83670823610605027</v>
      </c>
      <c r="Q18" s="537">
        <v>-0.92729096616247286</v>
      </c>
      <c r="R18" s="537">
        <v>-0.9071471707133455</v>
      </c>
      <c r="S18" s="537">
        <v>0.90704525375488432</v>
      </c>
      <c r="T18" s="537">
        <v>0.23459971959368675</v>
      </c>
      <c r="U18" s="537">
        <v>1.6394195681692931</v>
      </c>
      <c r="V18" s="537">
        <v>1.1620881334149749</v>
      </c>
      <c r="W18" s="537">
        <v>0.4677747625508818</v>
      </c>
      <c r="X18" s="537">
        <v>2.2037934129546599</v>
      </c>
      <c r="Y18" s="537">
        <v>0.11113621271555996</v>
      </c>
      <c r="Z18" s="537">
        <v>0.23459971959368675</v>
      </c>
      <c r="AA18" s="537">
        <v>-0.2946428571428571</v>
      </c>
      <c r="AB18" s="237"/>
      <c r="AC18" s="391"/>
    </row>
    <row r="19" spans="1:29" ht="15" customHeight="1" x14ac:dyDescent="0.2">
      <c r="A19" s="236" t="s">
        <v>55</v>
      </c>
      <c r="AB19" s="237"/>
    </row>
  </sheetData>
  <customSheetViews>
    <customSheetView guid="{0879B2E0-1447-4BF4-B278-DFA3BD4BF3E7}" showPageBreaks="1" fitToPage="1" printArea="1" hiddenColumns="1" view="pageBreakPreview">
      <selection sqref="A1:XFD1048576"/>
      <pageMargins left="0.7" right="0.7" top="0.75" bottom="0.75" header="0.3" footer="0.3"/>
      <pageSetup paperSize="9" orientation="landscape" r:id="rId1"/>
    </customSheetView>
    <customSheetView guid="{B24A12A4-9623-4099-956E-0B4C7C8D3F73}" scale="85" showPageBreaks="1" fitToPage="1" printArea="1" hiddenRows="1" view="pageBreakPreview">
      <selection activeCell="H15" sqref="H15"/>
      <pageMargins left="0.7" right="0.7" top="0.75" bottom="0.75" header="0.3" footer="0.3"/>
      <pageSetup paperSize="9" orientation="landscape" r:id="rId2"/>
    </customSheetView>
    <customSheetView guid="{93BA635E-1664-4099-8295-6B100E16362A}" scale="85" showPageBreaks="1" fitToPage="1" printArea="1" hiddenRows="1" view="pageBreakPreview">
      <selection activeCell="H15" sqref="H15"/>
      <pageMargins left="0.7" right="0.7" top="0.75" bottom="0.75" header="0.3" footer="0.3"/>
      <pageSetup paperSize="9" orientation="landscape" r:id="rId3"/>
    </customSheetView>
  </customSheetViews>
  <hyperlinks>
    <hyperlink ref="AB3" location="MENU!A1" display="MENU"/>
  </hyperlinks>
  <pageMargins left="0.7" right="0.7" top="0.75" bottom="0.75" header="0.3" footer="0.3"/>
  <pageSetup paperSize="9" scale="89"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305153"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305153" r:id="rId10"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tabColor rgb="FF4981BF"/>
    <pageSetUpPr fitToPage="1"/>
  </sheetPr>
  <dimension ref="A1:AQ38"/>
  <sheetViews>
    <sheetView view="pageBreakPreview" zoomScale="70" zoomScaleNormal="85" zoomScaleSheetLayoutView="70" workbookViewId="0">
      <selection sqref="A1:AM38"/>
    </sheetView>
  </sheetViews>
  <sheetFormatPr defaultColWidth="9.140625" defaultRowHeight="12.75" outlineLevelRow="1" outlineLevelCol="1" x14ac:dyDescent="0.2"/>
  <cols>
    <col min="1" max="1" width="60.7109375" style="22" customWidth="1"/>
    <col min="2" max="3" width="12.7109375" style="22" customWidth="1"/>
    <col min="4" max="21" width="12.7109375" style="48" customWidth="1"/>
    <col min="22" max="30" width="10.7109375" style="64" hidden="1" customWidth="1" outlineLevel="1"/>
    <col min="31" max="33" width="10.7109375" style="22" hidden="1" customWidth="1" outlineLevel="1"/>
    <col min="34" max="39" width="10.7109375" style="64" hidden="1" customWidth="1" outlineLevel="1"/>
    <col min="40" max="40" width="14.140625" style="22" customWidth="1" collapsed="1"/>
    <col min="41" max="16384" width="9.140625" style="22"/>
  </cols>
  <sheetData>
    <row r="1" spans="1:43" s="20" customFormat="1" ht="30" customHeight="1" x14ac:dyDescent="0.25">
      <c r="A1" s="406" t="s">
        <v>257</v>
      </c>
      <c r="B1" s="416"/>
      <c r="C1" s="416"/>
      <c r="D1" s="410"/>
      <c r="E1" s="410"/>
      <c r="F1" s="410"/>
      <c r="G1" s="410"/>
      <c r="H1" s="410"/>
      <c r="I1" s="410"/>
      <c r="J1" s="410"/>
      <c r="K1" s="417"/>
      <c r="L1" s="417"/>
      <c r="M1" s="417"/>
      <c r="N1" s="417"/>
      <c r="O1" s="417"/>
      <c r="P1" s="417"/>
      <c r="Q1" s="417"/>
      <c r="R1" s="417"/>
      <c r="S1" s="442"/>
      <c r="T1" s="442"/>
      <c r="U1" s="418"/>
      <c r="V1" s="309"/>
      <c r="W1" s="309"/>
      <c r="X1" s="309"/>
      <c r="Y1" s="309"/>
      <c r="Z1" s="309"/>
      <c r="AA1" s="309"/>
      <c r="AB1" s="309"/>
      <c r="AC1" s="309"/>
      <c r="AD1" s="309"/>
      <c r="AE1" s="309"/>
      <c r="AF1" s="163"/>
      <c r="AG1" s="163"/>
      <c r="AH1" s="309"/>
      <c r="AI1" s="309"/>
      <c r="AJ1" s="163"/>
      <c r="AK1" s="163"/>
      <c r="AL1" s="163"/>
      <c r="AM1" s="163"/>
    </row>
    <row r="2" spans="1:43" s="108" customFormat="1" ht="30" customHeight="1" thickBot="1" x14ac:dyDescent="0.3">
      <c r="A2" s="403" t="s">
        <v>177</v>
      </c>
      <c r="B2" s="115">
        <v>2009</v>
      </c>
      <c r="C2" s="115" t="s">
        <v>208</v>
      </c>
      <c r="D2" s="115">
        <v>2010</v>
      </c>
      <c r="E2" s="115" t="s">
        <v>209</v>
      </c>
      <c r="F2" s="115">
        <v>2011</v>
      </c>
      <c r="G2" s="115" t="s">
        <v>210</v>
      </c>
      <c r="H2" s="115">
        <v>2012</v>
      </c>
      <c r="I2" s="115" t="s">
        <v>211</v>
      </c>
      <c r="J2" s="115">
        <v>2013</v>
      </c>
      <c r="K2" s="115" t="s">
        <v>212</v>
      </c>
      <c r="L2" s="115">
        <v>2014</v>
      </c>
      <c r="M2" s="115" t="s">
        <v>213</v>
      </c>
      <c r="N2" s="115">
        <v>2015</v>
      </c>
      <c r="O2" s="115" t="s">
        <v>343</v>
      </c>
      <c r="P2" s="115">
        <v>2016</v>
      </c>
      <c r="Q2" s="23" t="s">
        <v>405</v>
      </c>
      <c r="R2" s="23">
        <v>2017</v>
      </c>
      <c r="S2" s="23" t="s">
        <v>431</v>
      </c>
      <c r="T2" s="23">
        <v>2018</v>
      </c>
      <c r="U2" s="404" t="s">
        <v>577</v>
      </c>
      <c r="V2" s="23" t="s">
        <v>258</v>
      </c>
      <c r="W2" s="23" t="s">
        <v>259</v>
      </c>
      <c r="X2" s="23" t="s">
        <v>260</v>
      </c>
      <c r="Y2" s="23" t="s">
        <v>261</v>
      </c>
      <c r="Z2" s="23" t="s">
        <v>223</v>
      </c>
      <c r="AA2" s="23" t="s">
        <v>224</v>
      </c>
      <c r="AB2" s="23" t="s">
        <v>236</v>
      </c>
      <c r="AC2" s="23" t="s">
        <v>226</v>
      </c>
      <c r="AD2" s="23" t="s">
        <v>262</v>
      </c>
      <c r="AE2" s="23" t="s">
        <v>228</v>
      </c>
      <c r="AF2" s="23" t="s">
        <v>336</v>
      </c>
      <c r="AG2" s="23" t="s">
        <v>342</v>
      </c>
      <c r="AH2" s="346" t="s">
        <v>368</v>
      </c>
      <c r="AI2" s="346" t="s">
        <v>409</v>
      </c>
      <c r="AJ2" s="346" t="s">
        <v>419</v>
      </c>
      <c r="AK2" s="23" t="s">
        <v>435</v>
      </c>
      <c r="AL2" s="23" t="s">
        <v>490</v>
      </c>
      <c r="AM2" s="23" t="s">
        <v>588</v>
      </c>
    </row>
    <row r="3" spans="1:43" ht="15" customHeight="1" thickBot="1" x14ac:dyDescent="0.25">
      <c r="A3" s="52" t="s">
        <v>132</v>
      </c>
      <c r="B3" s="83">
        <v>2972</v>
      </c>
      <c r="C3" s="83">
        <v>1768</v>
      </c>
      <c r="D3" s="83">
        <v>1236</v>
      </c>
      <c r="E3" s="83">
        <v>1568</v>
      </c>
      <c r="F3" s="83">
        <v>2754</v>
      </c>
      <c r="G3" s="83">
        <v>1617</v>
      </c>
      <c r="H3" s="83">
        <v>2526</v>
      </c>
      <c r="I3" s="83">
        <v>1250</v>
      </c>
      <c r="J3" s="83">
        <v>1032</v>
      </c>
      <c r="K3" s="83">
        <v>439</v>
      </c>
      <c r="L3" s="83">
        <v>652</v>
      </c>
      <c r="M3" s="83">
        <v>1227</v>
      </c>
      <c r="N3" s="83">
        <v>1124</v>
      </c>
      <c r="O3" s="83">
        <v>664</v>
      </c>
      <c r="P3" s="83">
        <v>579</v>
      </c>
      <c r="Q3" s="83">
        <v>1325</v>
      </c>
      <c r="R3" s="373">
        <v>817</v>
      </c>
      <c r="S3" s="373">
        <v>118</v>
      </c>
      <c r="T3" s="86">
        <v>209</v>
      </c>
      <c r="U3" s="394">
        <v>132</v>
      </c>
      <c r="V3" s="119">
        <v>-0.5841184387617766</v>
      </c>
      <c r="W3" s="119">
        <v>-0.1131221719457014</v>
      </c>
      <c r="X3" s="119">
        <v>1.2281553398058254</v>
      </c>
      <c r="Y3" s="119">
        <v>3.125E-2</v>
      </c>
      <c r="Z3" s="119">
        <v>-8.2788671023965144E-2</v>
      </c>
      <c r="AA3" s="119">
        <v>-0.22696351267779835</v>
      </c>
      <c r="AB3" s="119">
        <v>-0.59144893111638952</v>
      </c>
      <c r="AC3" s="119">
        <v>-0.64880000000000004</v>
      </c>
      <c r="AD3" s="119">
        <v>-0.36821705426356588</v>
      </c>
      <c r="AE3" s="119">
        <v>1.7949886104783599</v>
      </c>
      <c r="AF3" s="119">
        <v>0.7239263803680982</v>
      </c>
      <c r="AG3" s="119">
        <v>-0.45884270578647102</v>
      </c>
      <c r="AH3" s="119">
        <v>-0.48576512455516019</v>
      </c>
      <c r="AI3" s="119">
        <v>0.99548192771084332</v>
      </c>
      <c r="AJ3" s="119">
        <v>0.41349480968858132</v>
      </c>
      <c r="AK3" s="119">
        <v>-0.91094339622641507</v>
      </c>
      <c r="AL3" s="119">
        <v>-0.73684210526315796</v>
      </c>
      <c r="AM3" s="29">
        <v>0.11864406779661008</v>
      </c>
      <c r="AN3" s="24" t="s">
        <v>215</v>
      </c>
    </row>
    <row r="4" spans="1:43" ht="15" customHeight="1" x14ac:dyDescent="0.2">
      <c r="A4" s="52" t="s">
        <v>133</v>
      </c>
      <c r="B4" s="83">
        <v>2345</v>
      </c>
      <c r="C4" s="83">
        <v>1514</v>
      </c>
      <c r="D4" s="83">
        <v>1561</v>
      </c>
      <c r="E4" s="83">
        <v>774</v>
      </c>
      <c r="F4" s="83">
        <v>2401</v>
      </c>
      <c r="G4" s="83">
        <v>2508</v>
      </c>
      <c r="H4" s="83">
        <v>2497</v>
      </c>
      <c r="I4" s="83">
        <v>5624</v>
      </c>
      <c r="J4" s="83">
        <v>5173</v>
      </c>
      <c r="K4" s="83">
        <v>5647</v>
      </c>
      <c r="L4" s="83">
        <v>5678</v>
      </c>
      <c r="M4" s="83">
        <v>5151</v>
      </c>
      <c r="N4" s="83">
        <v>7142</v>
      </c>
      <c r="O4" s="83">
        <v>7473</v>
      </c>
      <c r="P4" s="83">
        <v>7276</v>
      </c>
      <c r="Q4" s="83">
        <v>6903</v>
      </c>
      <c r="R4" s="373">
        <v>8236</v>
      </c>
      <c r="S4" s="373">
        <v>9149.5894649020011</v>
      </c>
      <c r="T4" s="86">
        <v>8208</v>
      </c>
      <c r="U4" s="394">
        <v>8493</v>
      </c>
      <c r="V4" s="119">
        <v>-0.33432835820895523</v>
      </c>
      <c r="W4" s="119">
        <v>-0.48877146631439894</v>
      </c>
      <c r="X4" s="119">
        <v>0.53811659192825112</v>
      </c>
      <c r="Y4" s="119">
        <v>2.2403100775193798</v>
      </c>
      <c r="Z4" s="119">
        <v>3.9983340274885482E-2</v>
      </c>
      <c r="AA4" s="119">
        <v>1.2424242424242422</v>
      </c>
      <c r="AB4" s="119">
        <v>1.0716860232278735</v>
      </c>
      <c r="AC4" s="119">
        <v>4.0896159317211911E-3</v>
      </c>
      <c r="AD4" s="119">
        <v>9.7622269476125956E-2</v>
      </c>
      <c r="AE4" s="119">
        <v>-8.7834248273419568E-2</v>
      </c>
      <c r="AF4" s="119">
        <v>0.25783726664318429</v>
      </c>
      <c r="AG4" s="119">
        <v>0.45078625509609793</v>
      </c>
      <c r="AH4" s="119">
        <v>1.8482217866143902E-2</v>
      </c>
      <c r="AI4" s="119">
        <v>-7.6274588518667197E-2</v>
      </c>
      <c r="AJ4" s="119">
        <v>0.13225185592521305</v>
      </c>
      <c r="AK4" s="119">
        <v>0.32545117556164005</v>
      </c>
      <c r="AL4" s="119">
        <v>-1.4570179698882857E-3</v>
      </c>
      <c r="AM4" s="119">
        <v>-7.1761631209869114E-2</v>
      </c>
    </row>
    <row r="5" spans="1:43" ht="15" customHeight="1" x14ac:dyDescent="0.2">
      <c r="A5" s="52" t="s">
        <v>639</v>
      </c>
      <c r="B5" s="373"/>
      <c r="C5" s="373"/>
      <c r="D5" s="373"/>
      <c r="E5" s="373"/>
      <c r="F5" s="373"/>
      <c r="G5" s="373"/>
      <c r="H5" s="373"/>
      <c r="I5" s="373"/>
      <c r="J5" s="373"/>
      <c r="K5" s="373"/>
      <c r="L5" s="373"/>
      <c r="M5" s="373"/>
      <c r="N5" s="373"/>
      <c r="O5" s="373"/>
      <c r="P5" s="373"/>
      <c r="Q5" s="373"/>
      <c r="R5" s="373"/>
      <c r="S5" s="373"/>
      <c r="T5" s="394">
        <v>22</v>
      </c>
      <c r="U5" s="394">
        <v>220</v>
      </c>
      <c r="V5" s="119"/>
      <c r="W5" s="119"/>
      <c r="X5" s="119"/>
      <c r="Y5" s="119"/>
      <c r="Z5" s="119"/>
      <c r="AA5" s="119"/>
      <c r="AB5" s="119"/>
      <c r="AC5" s="119"/>
      <c r="AD5" s="119"/>
      <c r="AE5" s="119"/>
      <c r="AF5" s="119"/>
      <c r="AG5" s="119"/>
      <c r="AH5" s="119"/>
      <c r="AI5" s="119"/>
      <c r="AJ5" s="119"/>
      <c r="AK5" s="119"/>
      <c r="AL5" s="119"/>
      <c r="AM5" s="119"/>
    </row>
    <row r="6" spans="1:43" ht="15" customHeight="1" x14ac:dyDescent="0.2">
      <c r="A6" s="68" t="s">
        <v>134</v>
      </c>
      <c r="B6" s="173">
        <v>5317</v>
      </c>
      <c r="C6" s="173">
        <v>3282</v>
      </c>
      <c r="D6" s="173">
        <v>2797</v>
      </c>
      <c r="E6" s="173">
        <v>2342</v>
      </c>
      <c r="F6" s="173">
        <v>5155</v>
      </c>
      <c r="G6" s="173">
        <v>4125</v>
      </c>
      <c r="H6" s="173">
        <v>5023</v>
      </c>
      <c r="I6" s="173">
        <v>6874</v>
      </c>
      <c r="J6" s="173">
        <v>6205</v>
      </c>
      <c r="K6" s="173">
        <v>6086</v>
      </c>
      <c r="L6" s="173">
        <v>6330</v>
      </c>
      <c r="M6" s="173">
        <v>6378</v>
      </c>
      <c r="N6" s="173">
        <v>8266</v>
      </c>
      <c r="O6" s="173">
        <v>8137</v>
      </c>
      <c r="P6" s="173">
        <v>7855</v>
      </c>
      <c r="Q6" s="173">
        <v>8228</v>
      </c>
      <c r="R6" s="173">
        <v>9053</v>
      </c>
      <c r="S6" s="429">
        <v>9267.5894649020011</v>
      </c>
      <c r="T6" s="173">
        <v>8439</v>
      </c>
      <c r="U6" s="173">
        <v>8845</v>
      </c>
      <c r="V6" s="119">
        <v>-0.47395147639646418</v>
      </c>
      <c r="W6" s="119">
        <v>-0.2864107251675807</v>
      </c>
      <c r="X6" s="119">
        <v>0.84304612084376118</v>
      </c>
      <c r="Y6" s="119">
        <v>0.7613151152860802</v>
      </c>
      <c r="Z6" s="119">
        <v>-2.5606207565470385E-2</v>
      </c>
      <c r="AA6" s="119">
        <v>0.66642424242424236</v>
      </c>
      <c r="AB6" s="119">
        <v>0.23531753931913202</v>
      </c>
      <c r="AC6" s="119">
        <v>-0.11463485597905154</v>
      </c>
      <c r="AD6" s="119">
        <v>2.0145044319097583E-2</v>
      </c>
      <c r="AE6" s="119">
        <v>4.7978968123562282E-2</v>
      </c>
      <c r="AF6" s="119">
        <v>0.30584518167456554</v>
      </c>
      <c r="AG6" s="119">
        <v>0.27579178425838813</v>
      </c>
      <c r="AH6" s="119">
        <v>-5.0084684248729694E-2</v>
      </c>
      <c r="AI6" s="119">
        <v>1.1183482856089499E-2</v>
      </c>
      <c r="AJ6" s="119">
        <v>0.15295466123280699</v>
      </c>
      <c r="AK6" s="119">
        <v>0.12634777162153643</v>
      </c>
      <c r="AL6" s="119">
        <v>-6.7822821164254976E-2</v>
      </c>
      <c r="AM6" s="119">
        <v>-4.5598638837253458E-2</v>
      </c>
      <c r="AN6" s="168"/>
    </row>
    <row r="7" spans="1:43" ht="15" customHeight="1" x14ac:dyDescent="0.2">
      <c r="A7" s="52" t="s">
        <v>82</v>
      </c>
      <c r="B7" s="83">
        <v>3632</v>
      </c>
      <c r="C7" s="83">
        <v>2284</v>
      </c>
      <c r="D7" s="83">
        <v>5405</v>
      </c>
      <c r="E7" s="83">
        <v>3172</v>
      </c>
      <c r="F7" s="83">
        <v>1627</v>
      </c>
      <c r="G7" s="83">
        <v>995</v>
      </c>
      <c r="H7" s="83">
        <v>1037</v>
      </c>
      <c r="I7" s="83">
        <v>1809</v>
      </c>
      <c r="J7" s="83">
        <v>1621</v>
      </c>
      <c r="K7" s="83">
        <v>2625</v>
      </c>
      <c r="L7" s="83">
        <v>2793</v>
      </c>
      <c r="M7" s="83">
        <v>2814</v>
      </c>
      <c r="N7" s="83">
        <v>4054</v>
      </c>
      <c r="O7" s="83">
        <v>3414</v>
      </c>
      <c r="P7" s="83">
        <v>3325</v>
      </c>
      <c r="Q7" s="83">
        <v>2630</v>
      </c>
      <c r="R7" s="373">
        <v>852</v>
      </c>
      <c r="S7" s="373">
        <v>3438</v>
      </c>
      <c r="T7" s="86">
        <v>1388</v>
      </c>
      <c r="U7" s="394">
        <v>3488</v>
      </c>
      <c r="V7" s="119">
        <v>0.48816079295154191</v>
      </c>
      <c r="W7" s="119">
        <v>0.3887915936952715</v>
      </c>
      <c r="X7" s="119">
        <v>-0.6989824236817761</v>
      </c>
      <c r="Y7" s="119">
        <v>-0.68631778058007564</v>
      </c>
      <c r="Z7" s="119">
        <v>-0.36263060848186845</v>
      </c>
      <c r="AA7" s="119">
        <v>0.81809045226130661</v>
      </c>
      <c r="AB7" s="119">
        <v>0.56316297010607519</v>
      </c>
      <c r="AC7" s="119">
        <v>0.45107794361525699</v>
      </c>
      <c r="AD7" s="119">
        <v>0.7230104873534855</v>
      </c>
      <c r="AE7" s="119">
        <v>7.2000000000000064E-2</v>
      </c>
      <c r="AF7" s="119">
        <v>0.45148585750089509</v>
      </c>
      <c r="AG7" s="119">
        <v>0.21321961620469088</v>
      </c>
      <c r="AH7" s="119">
        <v>-0.18574247656635423</v>
      </c>
      <c r="AI7" s="119">
        <v>-0.22964264792032807</v>
      </c>
      <c r="AJ7" s="119">
        <v>-0.74189639503180849</v>
      </c>
      <c r="AK7" s="119">
        <v>0.30722433460076037</v>
      </c>
      <c r="AL7" s="119">
        <v>0.62910798122065725</v>
      </c>
      <c r="AM7" s="119">
        <v>1.4543339150669077E-2</v>
      </c>
    </row>
    <row r="8" spans="1:43" ht="15" customHeight="1" x14ac:dyDescent="0.25">
      <c r="A8" s="68" t="s">
        <v>135</v>
      </c>
      <c r="B8" s="182">
        <v>1685</v>
      </c>
      <c r="C8" s="182">
        <v>998</v>
      </c>
      <c r="D8" s="182">
        <v>-2608</v>
      </c>
      <c r="E8" s="182">
        <v>-830</v>
      </c>
      <c r="F8" s="182">
        <v>3528</v>
      </c>
      <c r="G8" s="182">
        <v>3130</v>
      </c>
      <c r="H8" s="182">
        <v>3986</v>
      </c>
      <c r="I8" s="182">
        <v>5065</v>
      </c>
      <c r="J8" s="182">
        <v>4584</v>
      </c>
      <c r="K8" s="182">
        <v>3461</v>
      </c>
      <c r="L8" s="182">
        <v>3537</v>
      </c>
      <c r="M8" s="182">
        <v>3564</v>
      </c>
      <c r="N8" s="182">
        <v>4212</v>
      </c>
      <c r="O8" s="182">
        <v>4723</v>
      </c>
      <c r="P8" s="182">
        <v>4530</v>
      </c>
      <c r="Q8" s="182">
        <v>5598</v>
      </c>
      <c r="R8" s="182">
        <v>8201</v>
      </c>
      <c r="S8" s="443">
        <v>5829.5894649020011</v>
      </c>
      <c r="T8" s="173">
        <v>7051</v>
      </c>
      <c r="U8" s="173">
        <v>5357</v>
      </c>
      <c r="V8" s="119">
        <v>-2.5477744807121665</v>
      </c>
      <c r="W8" s="119">
        <v>-1.8316633266533067</v>
      </c>
      <c r="X8" s="119">
        <v>-2.352760736196319</v>
      </c>
      <c r="Y8" s="119">
        <v>-4.7710843373493974</v>
      </c>
      <c r="Z8" s="119">
        <v>0.1298185941043084</v>
      </c>
      <c r="AA8" s="119">
        <v>0.6182108626198084</v>
      </c>
      <c r="AB8" s="119">
        <v>0.15002508780732571</v>
      </c>
      <c r="AC8" s="119">
        <v>-0.31668311944718652</v>
      </c>
      <c r="AD8" s="119">
        <v>-0.2284031413612565</v>
      </c>
      <c r="AE8" s="119">
        <v>2.9760184917653865E-2</v>
      </c>
      <c r="AF8" s="119">
        <v>0.19083969465648853</v>
      </c>
      <c r="AG8" s="119">
        <v>0.32519640852974185</v>
      </c>
      <c r="AH8" s="119">
        <v>8.0484330484330568E-2</v>
      </c>
      <c r="AI8" s="119">
        <v>0.18526360364175321</v>
      </c>
      <c r="AJ8" s="119">
        <v>0.80202153372885077</v>
      </c>
      <c r="AK8" s="119">
        <v>4.1370036602715432E-2</v>
      </c>
      <c r="AL8" s="119">
        <v>-0.1402268016095598</v>
      </c>
      <c r="AM8" s="119">
        <v>-8.1067366363841487E-2</v>
      </c>
      <c r="AN8"/>
    </row>
    <row r="9" spans="1:43" ht="15" customHeight="1" outlineLevel="1" x14ac:dyDescent="0.2">
      <c r="A9" s="52" t="s">
        <v>638</v>
      </c>
      <c r="B9" s="83"/>
      <c r="C9" s="83"/>
      <c r="D9" s="373">
        <v>5405</v>
      </c>
      <c r="E9" s="83"/>
      <c r="F9" s="83">
        <v>1627</v>
      </c>
      <c r="G9" s="83"/>
      <c r="H9" s="83">
        <v>1037</v>
      </c>
      <c r="I9" s="83">
        <v>1809</v>
      </c>
      <c r="J9" s="83">
        <v>4000</v>
      </c>
      <c r="K9" s="83">
        <v>4900</v>
      </c>
      <c r="L9" s="83">
        <v>4588.2909254440219</v>
      </c>
      <c r="M9" s="83">
        <v>5382.0923851680527</v>
      </c>
      <c r="N9" s="83">
        <v>6049</v>
      </c>
      <c r="O9" s="86">
        <v>5702</v>
      </c>
      <c r="P9" s="86">
        <v>5560</v>
      </c>
      <c r="Q9" s="86">
        <v>4815</v>
      </c>
      <c r="R9" s="86">
        <v>3989</v>
      </c>
      <c r="S9" s="394">
        <v>6033</v>
      </c>
      <c r="T9" s="86">
        <v>5679</v>
      </c>
      <c r="U9" s="394">
        <v>8087</v>
      </c>
      <c r="V9" s="119" t="s">
        <v>67</v>
      </c>
      <c r="W9" s="119" t="s">
        <v>67</v>
      </c>
      <c r="X9" s="119">
        <v>-0.6989824236817761</v>
      </c>
      <c r="Y9" s="119" t="s">
        <v>67</v>
      </c>
      <c r="Z9" s="119">
        <v>-0.36263060848186845</v>
      </c>
      <c r="AA9" s="119" t="s">
        <v>67</v>
      </c>
      <c r="AB9" s="119">
        <v>2.8572806171648986</v>
      </c>
      <c r="AC9" s="119">
        <v>1.7086788280818133</v>
      </c>
      <c r="AD9" s="119">
        <v>0.1470727313610054</v>
      </c>
      <c r="AE9" s="119">
        <v>9.8386201054704525E-2</v>
      </c>
      <c r="AF9" s="119">
        <v>0.31835581010256475</v>
      </c>
      <c r="AG9" s="119">
        <v>5.9439264869095787E-2</v>
      </c>
      <c r="AH9" s="119">
        <v>-8.0839808232765709E-2</v>
      </c>
      <c r="AI9" s="119">
        <v>-0.15555945282357064</v>
      </c>
      <c r="AJ9" s="119">
        <v>-0.28255395683453233</v>
      </c>
      <c r="AK9" s="119">
        <v>0.21038421599169266</v>
      </c>
      <c r="AL9" s="119">
        <v>0.42366507896715966</v>
      </c>
      <c r="AM9" s="119">
        <v>0.34046079893916792</v>
      </c>
    </row>
    <row r="10" spans="1:43" ht="15" customHeight="1" x14ac:dyDescent="0.2">
      <c r="A10" s="238" t="s">
        <v>136</v>
      </c>
      <c r="B10" s="240">
        <v>0.40138161029061459</v>
      </c>
      <c r="C10" s="240">
        <v>0.1649859480905935</v>
      </c>
      <c r="D10" s="374">
        <v>-0.36177000971008461</v>
      </c>
      <c r="E10" s="240">
        <v>-0.10775022718421394</v>
      </c>
      <c r="F10" s="240">
        <v>0.48736013261500205</v>
      </c>
      <c r="G10" s="240">
        <v>0.52253756260434059</v>
      </c>
      <c r="H10" s="240">
        <v>0.80819140308191406</v>
      </c>
      <c r="I10" s="240">
        <v>1.0692421363732321</v>
      </c>
      <c r="J10" s="240">
        <v>1.0919485469271082</v>
      </c>
      <c r="K10" s="240">
        <v>0.78748577929465302</v>
      </c>
      <c r="L10" s="240">
        <v>0.62260165463826789</v>
      </c>
      <c r="M10" s="240">
        <v>0.60478533853724759</v>
      </c>
      <c r="N10" s="240">
        <v>0.98053415891306961</v>
      </c>
      <c r="O10" s="240">
        <v>1.3960981377475614</v>
      </c>
      <c r="P10" s="240">
        <v>1.1672223647088997</v>
      </c>
      <c r="Q10" s="240">
        <v>1.4547817047817049</v>
      </c>
      <c r="R10" s="374">
        <v>2.0528160200250314</v>
      </c>
      <c r="S10" s="374">
        <v>1.0937316069234524</v>
      </c>
      <c r="T10" s="386">
        <v>1.1316000641951534</v>
      </c>
      <c r="U10" s="386">
        <v>0.77965361664968713</v>
      </c>
      <c r="V10" s="241">
        <v>-1.9013118698889824</v>
      </c>
      <c r="W10" s="241">
        <v>-1.6530872988349801</v>
      </c>
      <c r="X10" s="241">
        <v>-2.3471545997015149</v>
      </c>
      <c r="Y10" s="241">
        <v>-5.8495263189653439</v>
      </c>
      <c r="Z10" s="241">
        <v>0.65830429901076415</v>
      </c>
      <c r="AA10" s="241">
        <v>1.0462493280752905</v>
      </c>
      <c r="AB10" s="241">
        <v>0.35110141330770128</v>
      </c>
      <c r="AC10" s="241">
        <v>-0.26351033829836701</v>
      </c>
      <c r="AD10" s="241">
        <v>-0.42982509900273813</v>
      </c>
      <c r="AE10" s="241">
        <v>-0.23200474924264569</v>
      </c>
      <c r="AF10" s="241">
        <v>0.57489809352138788</v>
      </c>
      <c r="AG10" s="241">
        <v>1.3084192833182882</v>
      </c>
      <c r="AH10" s="241">
        <v>0.19039439278971737</v>
      </c>
      <c r="AI10" s="241">
        <v>4.2033984178807327E-2</v>
      </c>
      <c r="AJ10" s="241">
        <v>0.75871888861296366</v>
      </c>
      <c r="AK10" s="241">
        <v>-0.24818163211121036</v>
      </c>
      <c r="AL10" s="241">
        <v>-0.44875719345693976</v>
      </c>
      <c r="AM10" s="241">
        <v>-0.28716184874389095</v>
      </c>
      <c r="AQ10" s="168"/>
    </row>
    <row r="11" spans="1:43" ht="15" customHeight="1" x14ac:dyDescent="0.2">
      <c r="A11" s="52"/>
      <c r="B11" s="52"/>
      <c r="C11" s="52"/>
      <c r="D11" s="242"/>
      <c r="E11" s="242"/>
      <c r="F11" s="242"/>
      <c r="G11" s="242"/>
      <c r="H11" s="242"/>
      <c r="I11" s="242"/>
      <c r="J11" s="242"/>
      <c r="K11" s="242"/>
      <c r="L11" s="242"/>
      <c r="M11" s="242"/>
      <c r="N11" s="242"/>
      <c r="O11" s="242"/>
      <c r="P11" s="242"/>
      <c r="Q11" s="242"/>
      <c r="R11" s="242"/>
      <c r="S11" s="242"/>
      <c r="T11" s="242"/>
      <c r="U11" s="242"/>
      <c r="V11" s="70"/>
      <c r="W11" s="70"/>
      <c r="X11" s="70"/>
      <c r="Y11" s="70"/>
      <c r="Z11" s="70"/>
      <c r="AA11" s="70"/>
      <c r="AB11" s="70"/>
      <c r="AC11" s="70"/>
      <c r="AD11" s="70"/>
      <c r="AE11" s="52"/>
      <c r="AF11" s="52"/>
      <c r="AG11" s="52"/>
      <c r="AH11" s="70"/>
      <c r="AI11" s="70"/>
      <c r="AJ11" s="70"/>
      <c r="AK11" s="70"/>
      <c r="AL11" s="70"/>
      <c r="AM11" s="70"/>
    </row>
    <row r="12" spans="1:43" ht="15" customHeight="1" outlineLevel="1" x14ac:dyDescent="0.2">
      <c r="A12" s="73" t="s">
        <v>263</v>
      </c>
      <c r="B12" s="162">
        <v>2009</v>
      </c>
      <c r="C12" s="162" t="s">
        <v>208</v>
      </c>
      <c r="D12" s="162">
        <v>2010</v>
      </c>
      <c r="E12" s="162" t="s">
        <v>209</v>
      </c>
      <c r="F12" s="162">
        <v>2011</v>
      </c>
      <c r="G12" s="162" t="s">
        <v>210</v>
      </c>
      <c r="H12" s="162">
        <v>2012</v>
      </c>
      <c r="I12" s="162" t="s">
        <v>211</v>
      </c>
      <c r="J12" s="162">
        <v>2013</v>
      </c>
      <c r="K12" s="162" t="s">
        <v>212</v>
      </c>
      <c r="L12" s="162">
        <v>2014</v>
      </c>
      <c r="M12" s="162" t="s">
        <v>213</v>
      </c>
      <c r="N12" s="162">
        <v>2015</v>
      </c>
      <c r="O12" s="162" t="s">
        <v>343</v>
      </c>
      <c r="P12" s="162">
        <v>2016</v>
      </c>
      <c r="Q12" s="162" t="s">
        <v>405</v>
      </c>
      <c r="R12" s="162">
        <v>2017</v>
      </c>
      <c r="S12" s="162" t="s">
        <v>431</v>
      </c>
      <c r="T12" s="162">
        <v>2018</v>
      </c>
      <c r="U12" s="404" t="s">
        <v>577</v>
      </c>
      <c r="V12" s="165"/>
      <c r="W12" s="165"/>
      <c r="X12" s="165"/>
      <c r="Y12" s="165"/>
      <c r="Z12" s="165"/>
      <c r="AA12" s="165"/>
      <c r="AB12" s="165"/>
      <c r="AC12" s="165"/>
      <c r="AD12" s="165"/>
      <c r="AE12" s="32"/>
      <c r="AF12" s="32"/>
      <c r="AG12" s="32"/>
      <c r="AH12" s="165"/>
      <c r="AI12" s="165"/>
      <c r="AJ12" s="165"/>
      <c r="AK12" s="165"/>
      <c r="AL12" s="165"/>
      <c r="AM12" s="165"/>
    </row>
    <row r="13" spans="1:43" ht="15" customHeight="1" outlineLevel="1" x14ac:dyDescent="0.2">
      <c r="A13" s="164" t="s">
        <v>264</v>
      </c>
      <c r="B13" s="243"/>
      <c r="C13" s="243"/>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32"/>
      <c r="AF13" s="32"/>
      <c r="AG13" s="32"/>
      <c r="AH13" s="170"/>
      <c r="AI13" s="170"/>
      <c r="AJ13" s="170"/>
      <c r="AK13" s="170"/>
      <c r="AL13" s="170"/>
      <c r="AM13" s="170"/>
    </row>
    <row r="14" spans="1:43" ht="15" customHeight="1" outlineLevel="1" x14ac:dyDescent="0.2">
      <c r="A14" s="195" t="s">
        <v>137</v>
      </c>
      <c r="B14" s="90">
        <v>0</v>
      </c>
      <c r="C14" s="90" t="s">
        <v>207</v>
      </c>
      <c r="D14" s="90">
        <v>0.17518770110833035</v>
      </c>
      <c r="E14" s="90" t="s">
        <v>207</v>
      </c>
      <c r="F14" s="90">
        <v>0.14413191076624637</v>
      </c>
      <c r="G14" s="90">
        <v>0.17696969696969697</v>
      </c>
      <c r="H14" s="90">
        <v>9.8347601035237903E-2</v>
      </c>
      <c r="I14" s="90">
        <v>0.22185045097468722</v>
      </c>
      <c r="J14" s="90">
        <v>0.17195809830781628</v>
      </c>
      <c r="K14" s="90">
        <v>0.17071968452185343</v>
      </c>
      <c r="L14" s="90">
        <v>0.21</v>
      </c>
      <c r="M14" s="90">
        <v>0.21113067656255802</v>
      </c>
      <c r="N14" s="90">
        <v>0.25825259218546237</v>
      </c>
      <c r="O14" s="90">
        <v>0.25978617791457675</v>
      </c>
      <c r="P14" s="90">
        <v>0.28598494310926065</v>
      </c>
      <c r="Q14" s="90">
        <v>0.15440867113791643</v>
      </c>
      <c r="R14" s="90">
        <v>0.14738039316151125</v>
      </c>
      <c r="S14" s="90">
        <v>0.13289999999999999</v>
      </c>
      <c r="T14" s="245">
        <v>0.1293</v>
      </c>
      <c r="U14" s="245">
        <v>0.15370954412581861</v>
      </c>
      <c r="V14" s="170"/>
      <c r="W14" s="170"/>
      <c r="X14" s="170"/>
      <c r="Y14" s="170"/>
      <c r="Z14" s="244"/>
      <c r="AA14" s="170"/>
      <c r="AB14" s="170"/>
      <c r="AC14" s="170"/>
      <c r="AD14" s="170"/>
      <c r="AE14" s="32"/>
      <c r="AF14" s="32"/>
      <c r="AG14" s="32"/>
      <c r="AH14" s="170"/>
      <c r="AI14" s="170"/>
      <c r="AJ14" s="170"/>
      <c r="AK14" s="170"/>
      <c r="AL14" s="170"/>
      <c r="AM14" s="170"/>
      <c r="AN14" s="343"/>
    </row>
    <row r="15" spans="1:43" ht="15" customHeight="1" outlineLevel="1" x14ac:dyDescent="0.2">
      <c r="A15" s="195" t="s">
        <v>138</v>
      </c>
      <c r="B15" s="90">
        <v>0.99416964453639267</v>
      </c>
      <c r="C15" s="90" t="s">
        <v>207</v>
      </c>
      <c r="D15" s="90">
        <v>0.80193063997139791</v>
      </c>
      <c r="E15" s="90" t="s">
        <v>207</v>
      </c>
      <c r="F15" s="90">
        <v>0.85</v>
      </c>
      <c r="G15" s="90">
        <v>0.81333333333333335</v>
      </c>
      <c r="H15" s="90">
        <v>0.89</v>
      </c>
      <c r="I15" s="90">
        <v>0.77814954902531275</v>
      </c>
      <c r="J15" s="90">
        <v>0.82</v>
      </c>
      <c r="K15" s="90">
        <v>0.82928031547814651</v>
      </c>
      <c r="L15" s="90">
        <v>0.79</v>
      </c>
      <c r="M15" s="90">
        <v>0.78886932343744198</v>
      </c>
      <c r="N15" s="90">
        <v>0.74041673384834117</v>
      </c>
      <c r="O15" s="90">
        <v>0.73885863283770947</v>
      </c>
      <c r="P15" s="90">
        <v>0.71401492901935626</v>
      </c>
      <c r="Q15" s="90">
        <v>0.84526585543839916</v>
      </c>
      <c r="R15" s="90">
        <v>0.84935594396119507</v>
      </c>
      <c r="S15" s="90">
        <v>0.85860000000000003</v>
      </c>
      <c r="T15" s="90">
        <f>86.62%</f>
        <v>0.86620000000000008</v>
      </c>
      <c r="U15" s="90">
        <v>0.84242058782496188</v>
      </c>
      <c r="V15" s="170"/>
      <c r="W15" s="170"/>
      <c r="X15" s="170"/>
      <c r="Y15" s="170"/>
      <c r="Z15" s="244"/>
      <c r="AA15" s="170"/>
      <c r="AB15" s="170"/>
      <c r="AC15" s="170"/>
      <c r="AD15" s="170"/>
      <c r="AE15" s="32"/>
      <c r="AF15" s="32"/>
      <c r="AG15" s="32"/>
      <c r="AH15" s="170"/>
      <c r="AI15" s="170"/>
      <c r="AJ15" s="170"/>
      <c r="AK15" s="170"/>
      <c r="AL15" s="170"/>
      <c r="AM15" s="170"/>
    </row>
    <row r="16" spans="1:43" ht="15" customHeight="1" outlineLevel="1" x14ac:dyDescent="0.2">
      <c r="A16" s="195" t="s">
        <v>27</v>
      </c>
      <c r="B16" s="90">
        <v>5.8303554636072973E-3</v>
      </c>
      <c r="C16" s="90" t="s">
        <v>207</v>
      </c>
      <c r="D16" s="90">
        <v>2.4311762602788702E-2</v>
      </c>
      <c r="E16" s="90" t="s">
        <v>207</v>
      </c>
      <c r="F16" s="90">
        <v>5.0436469447138702E-3</v>
      </c>
      <c r="G16" s="90">
        <v>9.696969696969697E-3</v>
      </c>
      <c r="H16" s="90">
        <v>0.01</v>
      </c>
      <c r="I16" s="90">
        <v>4.946173988943846E-3</v>
      </c>
      <c r="J16" s="90">
        <v>0.01</v>
      </c>
      <c r="K16" s="90">
        <v>0</v>
      </c>
      <c r="L16" s="90">
        <v>0</v>
      </c>
      <c r="M16" s="90">
        <v>0</v>
      </c>
      <c r="N16" s="245">
        <v>0</v>
      </c>
      <c r="O16" s="245">
        <v>1.230871251329565E-6</v>
      </c>
      <c r="P16" s="245">
        <v>1.2787138316442181E-7</v>
      </c>
      <c r="Q16" s="245">
        <v>1.2197001889818623E-7</v>
      </c>
      <c r="R16" s="245">
        <v>3.2636628772937382E-3</v>
      </c>
      <c r="S16" s="245">
        <v>8.499999999999952E-3</v>
      </c>
      <c r="T16" s="245">
        <v>4.4999999999999997E-3</v>
      </c>
      <c r="U16" s="245">
        <v>3.8698680492195159E-3</v>
      </c>
      <c r="V16" s="170"/>
      <c r="W16" s="170"/>
      <c r="X16" s="86"/>
      <c r="Y16" s="170"/>
      <c r="Z16" s="244"/>
      <c r="AA16" s="170"/>
      <c r="AB16" s="170"/>
      <c r="AC16" s="170"/>
      <c r="AD16" s="170"/>
      <c r="AE16" s="32"/>
      <c r="AF16" s="32"/>
      <c r="AG16" s="32"/>
      <c r="AH16" s="170"/>
      <c r="AI16" s="170"/>
      <c r="AJ16" s="170"/>
      <c r="AK16" s="170"/>
      <c r="AL16" s="170"/>
      <c r="AM16" s="170"/>
      <c r="AN16" s="444"/>
    </row>
    <row r="17" spans="1:40" ht="15" customHeight="1" outlineLevel="1" x14ac:dyDescent="0.2">
      <c r="A17" s="164" t="s">
        <v>265</v>
      </c>
      <c r="B17" s="246"/>
      <c r="C17" s="246"/>
      <c r="D17" s="90"/>
      <c r="E17" s="90"/>
      <c r="F17" s="90"/>
      <c r="G17" s="90"/>
      <c r="H17" s="90"/>
      <c r="I17" s="90"/>
      <c r="J17" s="90"/>
      <c r="K17" s="90"/>
      <c r="L17" s="170"/>
      <c r="M17" s="170"/>
      <c r="N17" s="247"/>
      <c r="O17" s="247"/>
      <c r="P17" s="247"/>
      <c r="Q17" s="247"/>
      <c r="R17" s="247"/>
      <c r="S17" s="247"/>
      <c r="T17" s="247"/>
      <c r="U17" s="247"/>
      <c r="V17" s="170"/>
      <c r="W17" s="170"/>
      <c r="X17" s="170"/>
      <c r="Y17" s="170"/>
      <c r="Z17" s="170"/>
      <c r="AA17" s="170"/>
      <c r="AB17" s="170"/>
      <c r="AC17" s="170"/>
      <c r="AD17" s="170"/>
      <c r="AE17" s="32"/>
      <c r="AF17" s="32"/>
      <c r="AG17" s="32"/>
      <c r="AH17" s="170"/>
      <c r="AI17" s="170"/>
      <c r="AJ17" s="170"/>
      <c r="AK17" s="170"/>
      <c r="AL17" s="170"/>
      <c r="AM17" s="170"/>
      <c r="AN17" s="343"/>
    </row>
    <row r="18" spans="1:40" ht="15" customHeight="1" outlineLevel="1" x14ac:dyDescent="0.2">
      <c r="A18" s="195" t="s">
        <v>139</v>
      </c>
      <c r="B18" s="90" t="s">
        <v>207</v>
      </c>
      <c r="C18" s="90" t="s">
        <v>207</v>
      </c>
      <c r="D18" s="90" t="s">
        <v>207</v>
      </c>
      <c r="E18" s="90" t="s">
        <v>207</v>
      </c>
      <c r="F18" s="90">
        <v>0.55635305528612999</v>
      </c>
      <c r="G18" s="90">
        <v>0.54545454545454541</v>
      </c>
      <c r="H18" s="90">
        <v>0.44993032052558229</v>
      </c>
      <c r="I18" s="90">
        <v>0.20395693919115507</v>
      </c>
      <c r="J18" s="90">
        <v>0</v>
      </c>
      <c r="K18" s="90">
        <v>0</v>
      </c>
      <c r="L18" s="90">
        <v>0</v>
      </c>
      <c r="M18" s="90">
        <v>0</v>
      </c>
      <c r="N18" s="245">
        <v>2.2798108646868463E-5</v>
      </c>
      <c r="O18" s="245">
        <v>1.9036393872695525E-3</v>
      </c>
      <c r="P18" s="245">
        <v>2.2494362464599051E-2</v>
      </c>
      <c r="Q18" s="245">
        <v>3.585E-2</v>
      </c>
      <c r="R18" s="245">
        <v>6.7998892566089528E-2</v>
      </c>
      <c r="S18" s="245">
        <v>7.2400000000000006E-2</v>
      </c>
      <c r="T18" s="245">
        <v>1E-3</v>
      </c>
      <c r="U18" s="245">
        <v>1E-3</v>
      </c>
      <c r="V18" s="170"/>
      <c r="W18" s="86"/>
      <c r="X18" s="86"/>
      <c r="Y18" s="170"/>
      <c r="Z18" s="170"/>
      <c r="AA18" s="170"/>
      <c r="AB18" s="170"/>
      <c r="AC18" s="170"/>
      <c r="AD18" s="170"/>
      <c r="AE18" s="32"/>
      <c r="AF18" s="32"/>
      <c r="AG18" s="32"/>
      <c r="AH18" s="170"/>
      <c r="AI18" s="170"/>
      <c r="AJ18" s="170"/>
      <c r="AK18" s="170"/>
      <c r="AL18" s="170"/>
      <c r="AM18" s="170"/>
    </row>
    <row r="19" spans="1:40" ht="15" customHeight="1" outlineLevel="1" x14ac:dyDescent="0.2">
      <c r="A19" s="195" t="s">
        <v>140</v>
      </c>
      <c r="B19" s="90" t="s">
        <v>207</v>
      </c>
      <c r="C19" s="90" t="s">
        <v>207</v>
      </c>
      <c r="D19" s="90" t="s">
        <v>207</v>
      </c>
      <c r="E19" s="90" t="s">
        <v>207</v>
      </c>
      <c r="F19" s="90">
        <v>0.44364694471387001</v>
      </c>
      <c r="G19" s="90">
        <v>0.45454545454545453</v>
      </c>
      <c r="H19" s="90">
        <v>0.55006967947441765</v>
      </c>
      <c r="I19" s="90">
        <v>0.7960430608088449</v>
      </c>
      <c r="J19" s="90">
        <v>1</v>
      </c>
      <c r="K19" s="90">
        <v>1</v>
      </c>
      <c r="L19" s="90">
        <v>1</v>
      </c>
      <c r="M19" s="90">
        <v>1</v>
      </c>
      <c r="N19" s="245">
        <v>0.9999772018913532</v>
      </c>
      <c r="O19" s="245">
        <v>0.99809636061273044</v>
      </c>
      <c r="P19" s="245">
        <v>0.97750563753540098</v>
      </c>
      <c r="Q19" s="245">
        <v>0.96414999999999995</v>
      </c>
      <c r="R19" s="245">
        <v>0.93200110743391051</v>
      </c>
      <c r="S19" s="245">
        <v>0.92759999999999998</v>
      </c>
      <c r="T19" s="245">
        <v>0.999</v>
      </c>
      <c r="U19" s="245">
        <v>0.999</v>
      </c>
      <c r="V19" s="170"/>
      <c r="W19" s="170"/>
      <c r="X19" s="170"/>
      <c r="Y19" s="170"/>
      <c r="Z19" s="170"/>
      <c r="AA19" s="170"/>
      <c r="AB19" s="170"/>
      <c r="AC19" s="170"/>
      <c r="AD19" s="170"/>
      <c r="AE19" s="32"/>
      <c r="AF19" s="32"/>
      <c r="AG19" s="32"/>
      <c r="AH19" s="170"/>
      <c r="AI19" s="170"/>
      <c r="AJ19" s="170"/>
      <c r="AK19" s="170"/>
      <c r="AL19" s="170"/>
      <c r="AM19" s="170"/>
      <c r="AN19" s="343"/>
    </row>
    <row r="20" spans="1:40" ht="15" customHeight="1" x14ac:dyDescent="0.2">
      <c r="V20" s="248"/>
      <c r="W20" s="248"/>
      <c r="X20" s="248"/>
      <c r="Y20" s="248"/>
      <c r="Z20" s="248"/>
      <c r="AA20" s="248"/>
      <c r="AB20" s="248"/>
      <c r="AC20" s="248"/>
      <c r="AD20" s="248"/>
      <c r="AE20" s="32"/>
      <c r="AF20" s="32"/>
      <c r="AG20" s="32"/>
      <c r="AH20" s="248"/>
      <c r="AI20" s="248"/>
      <c r="AJ20" s="248"/>
      <c r="AK20" s="248"/>
      <c r="AL20" s="248"/>
      <c r="AM20" s="248"/>
    </row>
    <row r="21" spans="1:40" s="108" customFormat="1" ht="41.25" customHeight="1" x14ac:dyDescent="0.25">
      <c r="A21" s="337" t="s">
        <v>641</v>
      </c>
      <c r="B21" s="312" t="s">
        <v>266</v>
      </c>
      <c r="C21" s="312" t="s">
        <v>267</v>
      </c>
      <c r="D21" s="312" t="s">
        <v>268</v>
      </c>
      <c r="E21" s="312" t="s">
        <v>269</v>
      </c>
      <c r="F21" s="312" t="s">
        <v>271</v>
      </c>
      <c r="G21" s="312" t="s">
        <v>344</v>
      </c>
      <c r="H21" s="312" t="s">
        <v>369</v>
      </c>
      <c r="I21" s="312" t="s">
        <v>406</v>
      </c>
      <c r="J21" s="312" t="s">
        <v>415</v>
      </c>
      <c r="K21" s="312" t="s">
        <v>432</v>
      </c>
      <c r="L21" s="312" t="s">
        <v>464</v>
      </c>
      <c r="M21" s="312" t="s">
        <v>579</v>
      </c>
      <c r="N21" s="17"/>
      <c r="O21" s="17"/>
      <c r="P21" s="17"/>
      <c r="Q21" s="17"/>
      <c r="R21" s="17"/>
      <c r="S21" s="17"/>
      <c r="T21" s="17"/>
      <c r="U21" s="17"/>
      <c r="V21" s="17"/>
      <c r="W21" s="17"/>
      <c r="X21" s="338"/>
      <c r="Y21" s="338"/>
      <c r="Z21" s="338"/>
      <c r="AA21" s="338"/>
      <c r="AB21" s="338"/>
      <c r="AC21" s="338"/>
      <c r="AD21" s="338"/>
      <c r="AE21" s="338"/>
      <c r="AF21" s="338"/>
      <c r="AG21" s="339"/>
      <c r="AH21" s="339"/>
      <c r="AI21" s="17"/>
      <c r="AJ21" s="17"/>
      <c r="AK21" s="17"/>
      <c r="AL21" s="17"/>
      <c r="AM21" s="17"/>
      <c r="AN21" s="17"/>
    </row>
    <row r="22" spans="1:40" ht="15" customHeight="1" x14ac:dyDescent="0.2">
      <c r="A22" s="71">
        <v>2014</v>
      </c>
      <c r="B22" s="33">
        <v>0</v>
      </c>
      <c r="C22" s="249">
        <v>0</v>
      </c>
      <c r="D22" s="249">
        <v>0</v>
      </c>
      <c r="E22" s="249">
        <v>0</v>
      </c>
      <c r="F22" s="249">
        <v>0</v>
      </c>
      <c r="G22" s="249">
        <v>0</v>
      </c>
      <c r="H22" s="249">
        <v>0</v>
      </c>
      <c r="I22" s="249">
        <v>0</v>
      </c>
      <c r="J22" s="249">
        <v>0</v>
      </c>
      <c r="K22" s="249">
        <v>0</v>
      </c>
      <c r="L22" s="249">
        <v>0</v>
      </c>
      <c r="M22" s="249">
        <v>0</v>
      </c>
      <c r="V22" s="48"/>
      <c r="W22" s="48"/>
      <c r="X22" s="170"/>
      <c r="Y22" s="170"/>
      <c r="Z22" s="170"/>
      <c r="AA22" s="86"/>
      <c r="AB22" s="170"/>
      <c r="AC22" s="170"/>
      <c r="AD22" s="170"/>
      <c r="AE22" s="170"/>
      <c r="AF22" s="170"/>
      <c r="AG22" s="32"/>
      <c r="AH22" s="32"/>
      <c r="AI22" s="48"/>
      <c r="AJ22" s="48"/>
      <c r="AK22" s="48"/>
      <c r="AL22" s="48"/>
      <c r="AM22" s="48"/>
      <c r="AN22" s="48"/>
    </row>
    <row r="23" spans="1:40" ht="15" customHeight="1" x14ac:dyDescent="0.2">
      <c r="A23" s="71">
        <v>2015</v>
      </c>
      <c r="B23" s="33">
        <v>0.9</v>
      </c>
      <c r="C23" s="203">
        <v>0.9</v>
      </c>
      <c r="D23" s="250">
        <v>0.65723518621219224</v>
      </c>
      <c r="E23" s="250">
        <v>0.31483000000000005</v>
      </c>
      <c r="F23" s="249">
        <v>0</v>
      </c>
      <c r="G23" s="249">
        <v>0</v>
      </c>
      <c r="H23" s="249">
        <v>0</v>
      </c>
      <c r="I23" s="249">
        <v>0</v>
      </c>
      <c r="J23" s="249">
        <v>0</v>
      </c>
      <c r="K23" s="249">
        <v>0</v>
      </c>
      <c r="L23" s="249">
        <v>0</v>
      </c>
      <c r="M23" s="249">
        <v>0</v>
      </c>
      <c r="V23" s="48"/>
      <c r="W23" s="48"/>
      <c r="X23" s="170"/>
      <c r="Y23" s="170"/>
      <c r="Z23" s="170"/>
      <c r="AA23" s="86"/>
      <c r="AB23" s="170"/>
      <c r="AC23" s="170"/>
      <c r="AD23" s="170"/>
      <c r="AE23" s="170"/>
      <c r="AF23" s="170"/>
      <c r="AG23" s="32"/>
      <c r="AH23" s="32"/>
      <c r="AI23" s="48"/>
      <c r="AJ23" s="48"/>
      <c r="AK23" s="48"/>
      <c r="AL23" s="48"/>
      <c r="AM23" s="48"/>
      <c r="AN23" s="48"/>
    </row>
    <row r="24" spans="1:40" ht="15" customHeight="1" x14ac:dyDescent="0.25">
      <c r="A24" s="71">
        <v>2016</v>
      </c>
      <c r="B24" s="33">
        <v>1.7</v>
      </c>
      <c r="C24" s="203">
        <v>1.7</v>
      </c>
      <c r="D24" s="250">
        <v>1.2247770999530738</v>
      </c>
      <c r="E24" s="250">
        <v>1.2044559373686334</v>
      </c>
      <c r="F24" s="250">
        <v>1.1243400560076999</v>
      </c>
      <c r="G24" s="250">
        <v>0.28856400000000004</v>
      </c>
      <c r="H24" s="249">
        <v>0</v>
      </c>
      <c r="I24" s="249">
        <v>0</v>
      </c>
      <c r="J24" s="249">
        <v>0</v>
      </c>
      <c r="K24" s="249">
        <v>0</v>
      </c>
      <c r="L24" s="249">
        <v>0</v>
      </c>
      <c r="M24" s="249">
        <v>0</v>
      </c>
      <c r="V24" s="551"/>
      <c r="W24" s="48"/>
      <c r="X24" s="170"/>
      <c r="Y24" s="170"/>
      <c r="Z24" s="170"/>
      <c r="AA24" s="86"/>
      <c r="AE24" s="64"/>
      <c r="AF24" s="64"/>
      <c r="AH24" s="22"/>
      <c r="AI24" s="48"/>
      <c r="AJ24" s="48"/>
      <c r="AK24" s="48"/>
      <c r="AL24" s="48"/>
      <c r="AM24" s="48"/>
      <c r="AN24" s="48"/>
    </row>
    <row r="25" spans="1:40" ht="15" customHeight="1" x14ac:dyDescent="0.25">
      <c r="A25" s="71">
        <v>2017</v>
      </c>
      <c r="B25" s="33">
        <v>0.6</v>
      </c>
      <c r="C25" s="203">
        <v>0.6</v>
      </c>
      <c r="D25" s="250">
        <v>0.59855950400295777</v>
      </c>
      <c r="E25" s="250">
        <v>0.62631489400000007</v>
      </c>
      <c r="F25" s="250">
        <v>0.62633856868640003</v>
      </c>
      <c r="G25" s="250">
        <v>0.89773000000000003</v>
      </c>
      <c r="H25" s="250">
        <v>0.57411634950020007</v>
      </c>
      <c r="I25" s="250">
        <v>1.3241163555694999</v>
      </c>
      <c r="J25" s="250"/>
      <c r="K25" s="250"/>
      <c r="L25" s="250"/>
      <c r="M25" s="250">
        <v>0</v>
      </c>
      <c r="V25" s="551"/>
      <c r="W25" s="48"/>
      <c r="X25" s="170"/>
      <c r="Y25" s="170"/>
      <c r="Z25" s="170"/>
      <c r="AA25" s="86"/>
      <c r="AE25" s="64"/>
      <c r="AF25" s="64"/>
      <c r="AH25" s="22"/>
      <c r="AI25" s="48"/>
      <c r="AJ25" s="48"/>
      <c r="AK25" s="48"/>
      <c r="AL25" s="48"/>
      <c r="AM25" s="48"/>
      <c r="AN25" s="48"/>
    </row>
    <row r="26" spans="1:40" ht="15" customHeight="1" x14ac:dyDescent="0.25">
      <c r="A26" s="71">
        <v>2018</v>
      </c>
      <c r="B26" s="33">
        <v>3</v>
      </c>
      <c r="C26" s="203">
        <v>3</v>
      </c>
      <c r="D26" s="250">
        <v>1.6302987642734239</v>
      </c>
      <c r="E26" s="250">
        <v>1.8081258939999998</v>
      </c>
      <c r="F26" s="250">
        <v>1.7261368427350001</v>
      </c>
      <c r="G26" s="250">
        <v>1.6637879999999998</v>
      </c>
      <c r="H26" s="250">
        <v>1.1838335698737998</v>
      </c>
      <c r="I26" s="250">
        <v>0.51190973119479999</v>
      </c>
      <c r="J26" s="250">
        <v>0.81831912755509995</v>
      </c>
      <c r="K26" s="385">
        <v>9.0700000000000003E-2</v>
      </c>
      <c r="L26" s="385">
        <v>0</v>
      </c>
      <c r="M26" s="385"/>
      <c r="V26" s="551"/>
      <c r="W26" s="48"/>
      <c r="X26" s="170"/>
      <c r="Y26" s="170"/>
      <c r="Z26" s="170"/>
      <c r="AA26" s="86"/>
      <c r="AE26" s="64"/>
      <c r="AF26" s="64"/>
      <c r="AH26" s="22"/>
      <c r="AI26" s="48"/>
      <c r="AJ26" s="48"/>
      <c r="AK26" s="48"/>
      <c r="AL26" s="48"/>
      <c r="AM26" s="48"/>
      <c r="AN26" s="48"/>
    </row>
    <row r="27" spans="1:40" ht="15" customHeight="1" x14ac:dyDescent="0.25">
      <c r="A27" s="71">
        <v>2019</v>
      </c>
      <c r="B27" s="33"/>
      <c r="C27" s="203">
        <v>0</v>
      </c>
      <c r="D27" s="250">
        <v>2.2600180595253332</v>
      </c>
      <c r="E27" s="250">
        <v>2.4906418824212953</v>
      </c>
      <c r="F27" s="250">
        <v>1.3023936864579</v>
      </c>
      <c r="G27" s="250">
        <v>1.315418</v>
      </c>
      <c r="H27" s="250">
        <v>1.2126795354696001</v>
      </c>
      <c r="I27" s="250">
        <v>0.22823354095510001</v>
      </c>
      <c r="J27" s="250">
        <v>0.23915844538740003</v>
      </c>
      <c r="K27" s="385">
        <v>0.23930000000000001</v>
      </c>
      <c r="L27" s="385">
        <v>0.206717100523334</v>
      </c>
      <c r="M27" s="385">
        <v>0.14568666666666666</v>
      </c>
      <c r="N27" s="561"/>
      <c r="V27" s="552"/>
      <c r="W27" s="48"/>
      <c r="X27" s="170"/>
      <c r="Y27" s="170"/>
      <c r="Z27" s="170"/>
      <c r="AA27" s="86"/>
      <c r="AE27" s="64"/>
      <c r="AF27" s="64"/>
      <c r="AH27" s="22"/>
      <c r="AI27" s="48"/>
      <c r="AJ27" s="48"/>
      <c r="AK27" s="48"/>
      <c r="AL27" s="48"/>
      <c r="AM27" s="48"/>
      <c r="AN27" s="48"/>
    </row>
    <row r="28" spans="1:40" ht="15" customHeight="1" x14ac:dyDescent="0.25">
      <c r="A28" s="71">
        <v>2020</v>
      </c>
      <c r="B28" s="33"/>
      <c r="C28" s="203"/>
      <c r="D28" s="250"/>
      <c r="E28" s="250"/>
      <c r="F28" s="250">
        <v>3.5131453554820999</v>
      </c>
      <c r="G28" s="250">
        <v>4.0200879999999994</v>
      </c>
      <c r="H28" s="250">
        <v>1.5827291093403377</v>
      </c>
      <c r="I28" s="250">
        <v>2.0830310970390999</v>
      </c>
      <c r="J28" s="250">
        <v>1.9742051365099</v>
      </c>
      <c r="K28" s="385">
        <v>2.0251999999999999</v>
      </c>
      <c r="L28" s="385">
        <v>1.9420394105233301</v>
      </c>
      <c r="M28" s="385">
        <v>1.4979233333333333</v>
      </c>
      <c r="N28" s="561"/>
      <c r="V28" s="552"/>
      <c r="W28" s="48"/>
      <c r="X28" s="170"/>
      <c r="Y28" s="170"/>
      <c r="Z28" s="170"/>
      <c r="AA28" s="86"/>
      <c r="AE28" s="64"/>
      <c r="AF28" s="64"/>
      <c r="AH28" s="22"/>
      <c r="AI28" s="48"/>
      <c r="AJ28" s="48"/>
      <c r="AK28" s="48"/>
      <c r="AL28" s="48"/>
      <c r="AM28" s="48"/>
      <c r="AN28" s="48"/>
    </row>
    <row r="29" spans="1:40" ht="15" customHeight="1" x14ac:dyDescent="0.25">
      <c r="A29" s="71">
        <v>2021</v>
      </c>
      <c r="B29" s="33"/>
      <c r="C29" s="203"/>
      <c r="D29" s="250"/>
      <c r="E29" s="250"/>
      <c r="F29" s="250"/>
      <c r="G29" s="250"/>
      <c r="H29" s="250">
        <v>3.3106578930810637</v>
      </c>
      <c r="I29" s="250">
        <v>4.1014983930813997</v>
      </c>
      <c r="J29" s="250">
        <v>2.0379510158645995</v>
      </c>
      <c r="K29" s="385">
        <v>2.4118000000000004</v>
      </c>
      <c r="L29" s="385">
        <v>2.0988808330834998</v>
      </c>
      <c r="M29" s="385">
        <v>2.186990726486</v>
      </c>
      <c r="N29" s="561"/>
      <c r="V29" s="553"/>
      <c r="W29" s="48"/>
      <c r="X29" s="170"/>
      <c r="Y29" s="170"/>
      <c r="Z29" s="170"/>
      <c r="AA29" s="86"/>
      <c r="AE29" s="64"/>
      <c r="AF29" s="64"/>
      <c r="AH29" s="22"/>
      <c r="AI29" s="48"/>
      <c r="AJ29" s="48"/>
      <c r="AK29" s="48"/>
      <c r="AL29" s="48"/>
      <c r="AM29" s="48"/>
      <c r="AN29" s="48"/>
    </row>
    <row r="30" spans="1:40" ht="15" customHeight="1" x14ac:dyDescent="0.25">
      <c r="A30" s="71">
        <v>2022</v>
      </c>
      <c r="B30" s="33"/>
      <c r="C30" s="203"/>
      <c r="D30" s="250"/>
      <c r="E30" s="250"/>
      <c r="F30" s="250"/>
      <c r="G30" s="250"/>
      <c r="H30" s="250"/>
      <c r="I30" s="250"/>
      <c r="J30" s="250">
        <v>4.0272544627969999</v>
      </c>
      <c r="K30" s="385">
        <v>4.5278</v>
      </c>
      <c r="L30" s="385">
        <v>2.8065378170435</v>
      </c>
      <c r="M30" s="385">
        <v>2.9455774084529001</v>
      </c>
      <c r="N30" s="561"/>
      <c r="V30" s="553"/>
      <c r="W30" s="48"/>
      <c r="X30" s="170"/>
      <c r="Y30" s="170"/>
      <c r="Z30" s="170"/>
      <c r="AA30" s="394"/>
      <c r="AE30" s="64"/>
      <c r="AF30" s="64"/>
      <c r="AH30" s="22"/>
      <c r="AI30" s="48"/>
      <c r="AJ30" s="48"/>
      <c r="AK30" s="48"/>
      <c r="AL30" s="48"/>
      <c r="AM30" s="48"/>
      <c r="AN30" s="48"/>
    </row>
    <row r="31" spans="1:40" ht="15" customHeight="1" x14ac:dyDescent="0.25">
      <c r="A31" s="71" t="s">
        <v>465</v>
      </c>
      <c r="B31" s="33"/>
      <c r="C31" s="203"/>
      <c r="D31" s="250"/>
      <c r="E31" s="250"/>
      <c r="F31" s="250"/>
      <c r="G31" s="250"/>
      <c r="H31" s="250"/>
      <c r="I31" s="250"/>
      <c r="J31" s="250"/>
      <c r="K31" s="385"/>
      <c r="L31" s="385">
        <v>1.42407631848306</v>
      </c>
      <c r="M31" s="385">
        <v>2.0573476123890999</v>
      </c>
      <c r="N31" s="561"/>
      <c r="V31" s="553"/>
      <c r="W31" s="48"/>
      <c r="X31" s="170"/>
      <c r="Y31" s="170"/>
      <c r="Z31" s="170"/>
      <c r="AA31" s="86"/>
      <c r="AE31" s="64"/>
      <c r="AF31" s="64"/>
      <c r="AH31" s="22"/>
      <c r="AI31" s="48"/>
      <c r="AJ31" s="48"/>
      <c r="AK31" s="48"/>
      <c r="AL31" s="48"/>
      <c r="AM31" s="48"/>
      <c r="AN31" s="48"/>
    </row>
    <row r="32" spans="1:40" ht="15" customHeight="1" x14ac:dyDescent="0.25">
      <c r="A32" s="251" t="s">
        <v>640</v>
      </c>
      <c r="B32" s="252">
        <v>6.2</v>
      </c>
      <c r="C32" s="253">
        <v>6.2</v>
      </c>
      <c r="D32" s="252">
        <v>6.3708886139669811</v>
      </c>
      <c r="E32" s="252">
        <v>6.4443686077899285</v>
      </c>
      <c r="F32" s="252">
        <v>8.2923545093690993</v>
      </c>
      <c r="G32" s="252">
        <v>8.1855879999999992</v>
      </c>
      <c r="H32" s="252">
        <v>7.8640164572650022</v>
      </c>
      <c r="I32" s="252">
        <v>8.2487891178399</v>
      </c>
      <c r="J32" s="252">
        <v>9.0968881881139989</v>
      </c>
      <c r="K32" s="252">
        <v>9.2948000000000004</v>
      </c>
      <c r="L32" s="252">
        <f>SUM(L26:L31)</f>
        <v>8.4782514796567234</v>
      </c>
      <c r="M32" s="252">
        <v>8.8335257473280002</v>
      </c>
      <c r="N32" s="562"/>
      <c r="V32" s="553"/>
      <c r="W32" s="48"/>
      <c r="X32" s="170"/>
      <c r="Y32" s="170"/>
      <c r="Z32" s="170"/>
      <c r="AA32" s="86"/>
      <c r="AE32" s="64"/>
      <c r="AF32" s="64"/>
      <c r="AH32" s="22"/>
      <c r="AI32" s="48"/>
      <c r="AJ32" s="48"/>
      <c r="AK32" s="48"/>
      <c r="AL32" s="48"/>
      <c r="AM32" s="48"/>
      <c r="AN32" s="48"/>
    </row>
    <row r="33" spans="1:39" ht="15" customHeight="1" x14ac:dyDescent="0.25">
      <c r="A33" s="231" t="s">
        <v>55</v>
      </c>
      <c r="B33" s="254"/>
      <c r="D33" s="254"/>
      <c r="G33" s="255"/>
      <c r="V33" s="553"/>
      <c r="W33" s="170"/>
      <c r="X33" s="170"/>
      <c r="Y33" s="170"/>
      <c r="Z33" s="86"/>
      <c r="AH33" s="48"/>
      <c r="AI33" s="48"/>
      <c r="AJ33" s="48"/>
      <c r="AK33" s="48"/>
      <c r="AL33" s="48"/>
      <c r="AM33" s="48"/>
    </row>
    <row r="34" spans="1:39" ht="15" x14ac:dyDescent="0.25">
      <c r="A34" s="256"/>
      <c r="B34" s="254"/>
      <c r="D34" s="254"/>
      <c r="V34" s="554"/>
      <c r="W34" s="170"/>
      <c r="X34" s="170"/>
      <c r="Y34" s="170"/>
      <c r="Z34" s="86"/>
      <c r="AH34" s="48"/>
      <c r="AI34" s="48"/>
      <c r="AJ34" s="48"/>
      <c r="AK34" s="48"/>
      <c r="AL34" s="48"/>
      <c r="AM34" s="48"/>
    </row>
    <row r="35" spans="1:39" x14ac:dyDescent="0.2">
      <c r="A35" s="15" t="s">
        <v>56</v>
      </c>
      <c r="B35" s="254"/>
      <c r="D35" s="254"/>
      <c r="V35" s="48"/>
      <c r="W35" s="170"/>
      <c r="X35" s="170"/>
      <c r="Y35" s="170"/>
      <c r="Z35" s="86"/>
      <c r="AH35" s="48"/>
      <c r="AI35" s="48"/>
      <c r="AJ35" s="48"/>
      <c r="AK35" s="48"/>
      <c r="AL35" s="48"/>
      <c r="AM35" s="48"/>
    </row>
    <row r="36" spans="1:39" x14ac:dyDescent="0.2">
      <c r="A36" s="16" t="s">
        <v>483</v>
      </c>
      <c r="V36" s="48"/>
      <c r="W36" s="170"/>
      <c r="X36" s="170"/>
      <c r="Y36" s="170"/>
      <c r="Z36" s="86"/>
      <c r="AH36" s="48"/>
      <c r="AI36" s="48"/>
      <c r="AJ36" s="48"/>
      <c r="AK36" s="48"/>
      <c r="AL36" s="48"/>
      <c r="AM36" s="48"/>
    </row>
    <row r="37" spans="1:39" ht="14.25" x14ac:dyDescent="0.2">
      <c r="A37" s="239" t="s">
        <v>387</v>
      </c>
    </row>
    <row r="38" spans="1:39" ht="14.25" x14ac:dyDescent="0.2">
      <c r="A38" s="239" t="s">
        <v>587</v>
      </c>
      <c r="B38" s="257"/>
    </row>
  </sheetData>
  <customSheetViews>
    <customSheetView guid="{0879B2E0-1447-4BF4-B278-DFA3BD4BF3E7}" showPageBreaks="1" fitToPage="1" printArea="1" hiddenColumns="1" view="pageBreakPreview">
      <selection sqref="A1:XFD1048576"/>
      <pageMargins left="0.7" right="0.7" top="0.75" bottom="0.75" header="0.3" footer="0.3"/>
      <pageSetup paperSize="9" scale="89" orientation="landscape" r:id="rId1"/>
    </customSheetView>
    <customSheetView guid="{B24A12A4-9623-4099-956E-0B4C7C8D3F73}" scale="85" showPageBreaks="1" fitToPage="1" printArea="1" hiddenColumns="1" view="pageBreakPreview">
      <selection activeCell="F29" sqref="F29"/>
      <pageMargins left="0.7" right="0.7" top="0.75" bottom="0.75" header="0.3" footer="0.3"/>
      <pageSetup paperSize="9" scale="88" orientation="landscape" r:id="rId2"/>
    </customSheetView>
    <customSheetView guid="{93BA635E-1664-4099-8295-6B100E16362A}" scale="85" showPageBreaks="1" fitToPage="1" printArea="1" hiddenColumns="1" view="pageBreakPreview">
      <selection activeCell="F29" sqref="F29"/>
      <pageMargins left="0.7" right="0.7" top="0.75" bottom="0.75" header="0.3" footer="0.3"/>
      <pageSetup paperSize="9" scale="88" orientation="landscape" r:id="rId3"/>
    </customSheetView>
  </customSheetViews>
  <hyperlinks>
    <hyperlink ref="AN3" location="MENU!A1" display="MENU"/>
  </hyperlinks>
  <pageMargins left="0.7" right="0.7" top="0.75" bottom="0.75" header="0.3" footer="0.3"/>
  <pageSetup paperSize="9" scale="41"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306177"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306177" r:id="rId10"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4981BF"/>
    <pageSetUpPr fitToPage="1"/>
  </sheetPr>
  <dimension ref="A1:Z74"/>
  <sheetViews>
    <sheetView view="pageBreakPreview" zoomScaleNormal="100" zoomScaleSheetLayoutView="100" zoomScalePageLayoutView="85" workbookViewId="0">
      <selection sqref="A1:U66"/>
    </sheetView>
  </sheetViews>
  <sheetFormatPr defaultColWidth="8.85546875" defaultRowHeight="12.75" outlineLevelRow="1" x14ac:dyDescent="0.2"/>
  <cols>
    <col min="1" max="1" width="60.7109375" style="260" customWidth="1"/>
    <col min="2" max="15" width="7.7109375" style="276" customWidth="1"/>
    <col min="16" max="21" width="7.7109375" style="262" customWidth="1"/>
    <col min="22" max="22" width="10.7109375" style="262" customWidth="1"/>
    <col min="23" max="23" width="8.85546875" style="262"/>
    <col min="24" max="24" width="13.5703125" style="262" customWidth="1"/>
    <col min="25" max="16384" width="8.85546875" style="262"/>
  </cols>
  <sheetData>
    <row r="1" spans="1:26" s="278" customFormat="1" ht="30" customHeight="1" thickBot="1" x14ac:dyDescent="0.3">
      <c r="A1" s="420" t="s">
        <v>141</v>
      </c>
      <c r="B1" s="421">
        <v>2009</v>
      </c>
      <c r="C1" s="421" t="s">
        <v>208</v>
      </c>
      <c r="D1" s="421">
        <v>2010</v>
      </c>
      <c r="E1" s="421" t="s">
        <v>209</v>
      </c>
      <c r="F1" s="421">
        <v>2011</v>
      </c>
      <c r="G1" s="421" t="s">
        <v>210</v>
      </c>
      <c r="H1" s="421">
        <v>2012</v>
      </c>
      <c r="I1" s="421" t="s">
        <v>211</v>
      </c>
      <c r="J1" s="421">
        <v>2013</v>
      </c>
      <c r="K1" s="421" t="s">
        <v>212</v>
      </c>
      <c r="L1" s="421">
        <v>2014</v>
      </c>
      <c r="M1" s="421" t="s">
        <v>213</v>
      </c>
      <c r="N1" s="421">
        <v>2015</v>
      </c>
      <c r="O1" s="421" t="s">
        <v>343</v>
      </c>
      <c r="P1" s="421">
        <v>2016</v>
      </c>
      <c r="Q1" s="422" t="s">
        <v>405</v>
      </c>
      <c r="R1" s="422">
        <v>2017</v>
      </c>
      <c r="S1" s="422" t="s">
        <v>431</v>
      </c>
      <c r="T1" s="422">
        <v>2018</v>
      </c>
      <c r="U1" s="423" t="s">
        <v>431</v>
      </c>
    </row>
    <row r="2" spans="1:26" ht="15" customHeight="1" thickBot="1" x14ac:dyDescent="0.25">
      <c r="A2" s="75" t="s">
        <v>455</v>
      </c>
      <c r="B2" s="174"/>
      <c r="C2" s="174"/>
      <c r="D2" s="174"/>
      <c r="E2" s="174"/>
      <c r="F2" s="174"/>
      <c r="G2" s="174"/>
      <c r="H2" s="174"/>
      <c r="I2" s="174"/>
      <c r="J2" s="174"/>
      <c r="K2" s="174"/>
      <c r="L2" s="174"/>
      <c r="M2" s="174"/>
      <c r="N2" s="261"/>
      <c r="O2" s="261"/>
      <c r="P2" s="261"/>
      <c r="Q2" s="261"/>
      <c r="R2" s="261"/>
      <c r="S2" s="261"/>
      <c r="T2" s="261"/>
      <c r="U2" s="261"/>
      <c r="V2" s="24" t="s">
        <v>215</v>
      </c>
    </row>
    <row r="3" spans="1:26" ht="15" customHeight="1" outlineLevel="1" x14ac:dyDescent="0.2">
      <c r="A3" s="169" t="s">
        <v>602</v>
      </c>
      <c r="B3" s="86">
        <v>283</v>
      </c>
      <c r="C3" s="86">
        <v>143</v>
      </c>
      <c r="D3" s="86">
        <v>295</v>
      </c>
      <c r="E3" s="86">
        <v>141</v>
      </c>
      <c r="F3" s="86">
        <v>291</v>
      </c>
      <c r="G3" s="86">
        <v>143</v>
      </c>
      <c r="H3" s="86">
        <v>293</v>
      </c>
      <c r="I3" s="86">
        <v>134</v>
      </c>
      <c r="J3" s="86">
        <v>286</v>
      </c>
      <c r="K3" s="263">
        <v>128</v>
      </c>
      <c r="L3" s="263">
        <v>270</v>
      </c>
      <c r="M3" s="263">
        <v>130</v>
      </c>
      <c r="N3" s="264">
        <v>240</v>
      </c>
      <c r="O3" s="264">
        <v>145</v>
      </c>
      <c r="P3" s="264">
        <v>271</v>
      </c>
      <c r="Q3" s="393">
        <f>Q20+Q26+Q29</f>
        <v>106</v>
      </c>
      <c r="R3" s="399">
        <v>216</v>
      </c>
      <c r="S3" s="399">
        <f>S20+S26+S29</f>
        <v>101</v>
      </c>
      <c r="T3" s="399">
        <v>217</v>
      </c>
      <c r="U3" s="399">
        <v>113</v>
      </c>
      <c r="Z3" s="22"/>
    </row>
    <row r="4" spans="1:26" ht="15" customHeight="1" outlineLevel="1" x14ac:dyDescent="0.2">
      <c r="A4" s="169" t="s">
        <v>601</v>
      </c>
      <c r="B4" s="86">
        <v>415</v>
      </c>
      <c r="C4" s="86">
        <v>176</v>
      </c>
      <c r="D4" s="86">
        <v>388</v>
      </c>
      <c r="E4" s="86">
        <v>160</v>
      </c>
      <c r="F4" s="86">
        <v>369</v>
      </c>
      <c r="G4" s="86">
        <v>160</v>
      </c>
      <c r="H4" s="86">
        <v>358</v>
      </c>
      <c r="I4" s="86">
        <v>165</v>
      </c>
      <c r="J4" s="86">
        <v>370</v>
      </c>
      <c r="K4" s="263">
        <v>176</v>
      </c>
      <c r="L4" s="263">
        <v>356</v>
      </c>
      <c r="M4" s="263">
        <v>177</v>
      </c>
      <c r="N4" s="264">
        <v>343</v>
      </c>
      <c r="O4" s="264">
        <v>182</v>
      </c>
      <c r="P4" s="264">
        <v>374</v>
      </c>
      <c r="Q4" s="393">
        <f>Q21+Q30+Q34</f>
        <v>182</v>
      </c>
      <c r="R4" s="399">
        <v>386</v>
      </c>
      <c r="S4" s="399">
        <f>S21+S30+S34</f>
        <v>201</v>
      </c>
      <c r="T4" s="399">
        <v>455</v>
      </c>
      <c r="U4" s="399">
        <v>223</v>
      </c>
      <c r="Z4" s="22"/>
    </row>
    <row r="5" spans="1:26" ht="15" customHeight="1" outlineLevel="1" x14ac:dyDescent="0.2">
      <c r="A5" s="169" t="s">
        <v>388</v>
      </c>
      <c r="B5" s="86">
        <v>2730</v>
      </c>
      <c r="C5" s="86">
        <v>1643</v>
      </c>
      <c r="D5" s="86">
        <v>2806</v>
      </c>
      <c r="E5" s="86">
        <v>1400</v>
      </c>
      <c r="F5" s="86">
        <v>2696</v>
      </c>
      <c r="G5" s="86">
        <v>1316</v>
      </c>
      <c r="H5" s="86">
        <v>2676</v>
      </c>
      <c r="I5" s="86">
        <v>1324</v>
      </c>
      <c r="J5" s="86">
        <v>2645</v>
      </c>
      <c r="K5" s="263">
        <v>1369</v>
      </c>
      <c r="L5" s="263">
        <v>2667</v>
      </c>
      <c r="M5" s="263">
        <v>1312</v>
      </c>
      <c r="N5" s="264">
        <v>2464</v>
      </c>
      <c r="O5" s="264">
        <v>1434</v>
      </c>
      <c r="P5" s="264">
        <v>2779</v>
      </c>
      <c r="Q5" s="393">
        <f>Q22+Q31+Q35</f>
        <v>1328</v>
      </c>
      <c r="R5" s="399">
        <v>2450</v>
      </c>
      <c r="S5" s="399">
        <f>S22+S31+S35</f>
        <v>1528</v>
      </c>
      <c r="T5" s="399">
        <v>2974</v>
      </c>
      <c r="U5" s="399">
        <v>1537</v>
      </c>
      <c r="Y5" s="22"/>
      <c r="Z5" s="25"/>
    </row>
    <row r="6" spans="1:26" ht="15" customHeight="1" outlineLevel="1" x14ac:dyDescent="0.2">
      <c r="A6" s="169" t="s">
        <v>389</v>
      </c>
      <c r="B6" s="86">
        <v>644</v>
      </c>
      <c r="C6" s="86">
        <v>424</v>
      </c>
      <c r="D6" s="86">
        <v>678</v>
      </c>
      <c r="E6" s="86">
        <v>342</v>
      </c>
      <c r="F6" s="86">
        <v>661</v>
      </c>
      <c r="G6" s="86">
        <v>342</v>
      </c>
      <c r="H6" s="86">
        <v>665</v>
      </c>
      <c r="I6" s="86">
        <v>321</v>
      </c>
      <c r="J6" s="86">
        <v>651</v>
      </c>
      <c r="K6" s="263">
        <v>328</v>
      </c>
      <c r="L6" s="263">
        <v>629</v>
      </c>
      <c r="M6" s="263">
        <v>322</v>
      </c>
      <c r="N6" s="264">
        <v>590</v>
      </c>
      <c r="O6" s="264">
        <v>370</v>
      </c>
      <c r="P6" s="264">
        <v>669</v>
      </c>
      <c r="Q6" s="393">
        <f>Q23+Q32+Q36</f>
        <v>318</v>
      </c>
      <c r="R6" s="399">
        <v>667</v>
      </c>
      <c r="S6" s="399">
        <f>S23+S32+S36</f>
        <v>353</v>
      </c>
      <c r="T6" s="399">
        <v>668</v>
      </c>
      <c r="U6" s="399">
        <v>390</v>
      </c>
      <c r="Y6" s="25"/>
      <c r="Z6" s="22"/>
    </row>
    <row r="7" spans="1:26" ht="15" customHeight="1" outlineLevel="1" x14ac:dyDescent="0.2">
      <c r="A7" s="169" t="s">
        <v>390</v>
      </c>
      <c r="B7" s="86" t="s">
        <v>207</v>
      </c>
      <c r="C7" s="86">
        <v>69</v>
      </c>
      <c r="D7" s="86" t="s">
        <v>207</v>
      </c>
      <c r="E7" s="86">
        <v>65</v>
      </c>
      <c r="F7" s="86" t="s">
        <v>207</v>
      </c>
      <c r="G7" s="86">
        <v>65</v>
      </c>
      <c r="H7" s="86" t="s">
        <v>207</v>
      </c>
      <c r="I7" s="86">
        <v>64</v>
      </c>
      <c r="J7" s="86">
        <v>131</v>
      </c>
      <c r="K7" s="181">
        <v>76</v>
      </c>
      <c r="L7" s="181">
        <v>136</v>
      </c>
      <c r="M7" s="181">
        <v>59</v>
      </c>
      <c r="N7" s="264">
        <v>93</v>
      </c>
      <c r="O7" s="264">
        <v>70</v>
      </c>
      <c r="P7" s="264">
        <v>155</v>
      </c>
      <c r="Q7" s="399" t="s">
        <v>207</v>
      </c>
      <c r="R7" s="399" t="s">
        <v>207</v>
      </c>
      <c r="S7" s="399" t="s">
        <v>207</v>
      </c>
      <c r="T7" s="399" t="s">
        <v>207</v>
      </c>
      <c r="U7" s="399" t="s">
        <v>207</v>
      </c>
      <c r="W7" s="381"/>
    </row>
    <row r="8" spans="1:26" ht="15" customHeight="1" outlineLevel="1" x14ac:dyDescent="0.2">
      <c r="A8" s="169" t="s">
        <v>391</v>
      </c>
      <c r="B8" s="86" t="s">
        <v>207</v>
      </c>
      <c r="C8" s="86" t="s">
        <v>207</v>
      </c>
      <c r="D8" s="86" t="s">
        <v>207</v>
      </c>
      <c r="E8" s="86" t="s">
        <v>207</v>
      </c>
      <c r="F8" s="86" t="s">
        <v>207</v>
      </c>
      <c r="G8" s="86" t="s">
        <v>207</v>
      </c>
      <c r="H8" s="86" t="s">
        <v>207</v>
      </c>
      <c r="I8" s="86">
        <v>41</v>
      </c>
      <c r="J8" s="86">
        <v>82</v>
      </c>
      <c r="K8" s="86">
        <v>48</v>
      </c>
      <c r="L8" s="86">
        <v>91</v>
      </c>
      <c r="M8" s="86">
        <v>43</v>
      </c>
      <c r="N8" s="264">
        <v>84</v>
      </c>
      <c r="O8" s="264">
        <v>45</v>
      </c>
      <c r="P8" s="264">
        <v>85</v>
      </c>
      <c r="Q8" s="399" t="s">
        <v>207</v>
      </c>
      <c r="R8" s="399" t="s">
        <v>207</v>
      </c>
      <c r="S8" s="399" t="s">
        <v>207</v>
      </c>
      <c r="T8" s="399" t="s">
        <v>207</v>
      </c>
      <c r="U8" s="399" t="s">
        <v>207</v>
      </c>
    </row>
    <row r="9" spans="1:26" ht="15" customHeight="1" outlineLevel="1" x14ac:dyDescent="0.2">
      <c r="A9" s="169" t="s">
        <v>603</v>
      </c>
      <c r="B9" s="86" t="s">
        <v>207</v>
      </c>
      <c r="C9" s="86" t="s">
        <v>207</v>
      </c>
      <c r="D9" s="86" t="s">
        <v>207</v>
      </c>
      <c r="E9" s="86" t="s">
        <v>207</v>
      </c>
      <c r="F9" s="86" t="s">
        <v>207</v>
      </c>
      <c r="G9" s="86" t="s">
        <v>207</v>
      </c>
      <c r="H9" s="86" t="s">
        <v>207</v>
      </c>
      <c r="I9" s="86">
        <v>2</v>
      </c>
      <c r="J9" s="86">
        <v>5.4</v>
      </c>
      <c r="K9" s="86">
        <v>2.6</v>
      </c>
      <c r="L9" s="86">
        <v>5.7</v>
      </c>
      <c r="M9" s="86">
        <v>2.9</v>
      </c>
      <c r="N9" s="264">
        <v>5</v>
      </c>
      <c r="O9" s="264">
        <v>2</v>
      </c>
      <c r="P9" s="264">
        <v>5</v>
      </c>
      <c r="Q9" s="399" t="s">
        <v>207</v>
      </c>
      <c r="R9" s="399" t="s">
        <v>207</v>
      </c>
      <c r="S9" s="399" t="s">
        <v>207</v>
      </c>
      <c r="T9" s="399" t="s">
        <v>207</v>
      </c>
      <c r="U9" s="399" t="s">
        <v>207</v>
      </c>
    </row>
    <row r="10" spans="1:26" ht="15" customHeight="1" outlineLevel="1" x14ac:dyDescent="0.2">
      <c r="A10" s="169" t="s">
        <v>604</v>
      </c>
      <c r="B10" s="86" t="s">
        <v>207</v>
      </c>
      <c r="C10" s="86" t="s">
        <v>207</v>
      </c>
      <c r="D10" s="86" t="s">
        <v>207</v>
      </c>
      <c r="E10" s="86" t="s">
        <v>207</v>
      </c>
      <c r="F10" s="86" t="s">
        <v>207</v>
      </c>
      <c r="G10" s="86" t="s">
        <v>207</v>
      </c>
      <c r="H10" s="86" t="s">
        <v>207</v>
      </c>
      <c r="I10" s="86">
        <v>1099</v>
      </c>
      <c r="J10" s="86">
        <v>2242</v>
      </c>
      <c r="K10" s="86">
        <v>1286</v>
      </c>
      <c r="L10" s="86">
        <v>2281</v>
      </c>
      <c r="M10" s="86">
        <v>983</v>
      </c>
      <c r="N10" s="264">
        <v>1915</v>
      </c>
      <c r="O10" s="264">
        <v>1092</v>
      </c>
      <c r="P10" s="264">
        <v>2565</v>
      </c>
      <c r="Q10" s="399" t="s">
        <v>207</v>
      </c>
      <c r="R10" s="399" t="s">
        <v>207</v>
      </c>
      <c r="S10" s="399" t="s">
        <v>207</v>
      </c>
      <c r="T10" s="399" t="s">
        <v>207</v>
      </c>
      <c r="U10" s="399" t="s">
        <v>207</v>
      </c>
    </row>
    <row r="11" spans="1:26" ht="15" customHeight="1" outlineLevel="1" x14ac:dyDescent="0.2">
      <c r="A11" s="395" t="s">
        <v>460</v>
      </c>
      <c r="B11" s="394"/>
      <c r="C11" s="394"/>
      <c r="D11" s="394"/>
      <c r="E11" s="394"/>
      <c r="F11" s="394"/>
      <c r="G11" s="394"/>
      <c r="H11" s="394"/>
      <c r="I11" s="394"/>
      <c r="J11" s="394"/>
      <c r="K11" s="394"/>
      <c r="L11" s="394"/>
      <c r="M11" s="394"/>
      <c r="N11" s="399"/>
      <c r="O11" s="399"/>
      <c r="P11" s="399"/>
      <c r="Q11" s="399"/>
      <c r="R11" s="399"/>
      <c r="S11" s="399"/>
      <c r="T11" s="399"/>
      <c r="U11" s="399"/>
    </row>
    <row r="12" spans="1:26" s="398" customFormat="1" ht="15" customHeight="1" outlineLevel="1" x14ac:dyDescent="0.2">
      <c r="A12" s="400" t="s">
        <v>444</v>
      </c>
      <c r="B12" s="394"/>
      <c r="C12" s="394"/>
      <c r="D12" s="394"/>
      <c r="E12" s="394"/>
      <c r="F12" s="394"/>
      <c r="G12" s="394"/>
      <c r="H12" s="394"/>
      <c r="I12" s="394"/>
      <c r="J12" s="394"/>
      <c r="K12" s="394"/>
      <c r="L12" s="394">
        <v>3</v>
      </c>
      <c r="M12" s="394">
        <v>1</v>
      </c>
      <c r="N12" s="399">
        <v>5</v>
      </c>
      <c r="O12" s="399">
        <v>6</v>
      </c>
      <c r="P12" s="399">
        <v>13</v>
      </c>
      <c r="Q12" s="399" t="s">
        <v>207</v>
      </c>
      <c r="R12" s="399" t="s">
        <v>207</v>
      </c>
      <c r="S12" s="399" t="s">
        <v>207</v>
      </c>
      <c r="T12" s="399" t="s">
        <v>207</v>
      </c>
      <c r="U12" s="399" t="s">
        <v>207</v>
      </c>
    </row>
    <row r="13" spans="1:26" s="398" customFormat="1" ht="15" customHeight="1" outlineLevel="1" x14ac:dyDescent="0.2">
      <c r="A13" s="400" t="s">
        <v>605</v>
      </c>
      <c r="B13" s="394"/>
      <c r="C13" s="394"/>
      <c r="D13" s="394"/>
      <c r="E13" s="394"/>
      <c r="F13" s="394"/>
      <c r="G13" s="394"/>
      <c r="H13" s="394"/>
      <c r="I13" s="394"/>
      <c r="J13" s="394"/>
      <c r="K13" s="394"/>
      <c r="L13" s="394">
        <v>13</v>
      </c>
      <c r="M13" s="394">
        <v>7</v>
      </c>
      <c r="N13" s="399">
        <v>16</v>
      </c>
      <c r="O13" s="399">
        <v>6</v>
      </c>
      <c r="P13" s="399">
        <v>15</v>
      </c>
      <c r="Q13" s="399" t="s">
        <v>207</v>
      </c>
      <c r="R13" s="399" t="s">
        <v>207</v>
      </c>
      <c r="S13" s="399" t="s">
        <v>207</v>
      </c>
      <c r="T13" s="399" t="s">
        <v>207</v>
      </c>
      <c r="U13" s="399" t="s">
        <v>207</v>
      </c>
    </row>
    <row r="14" spans="1:26" s="398" customFormat="1" ht="15" customHeight="1" outlineLevel="1" x14ac:dyDescent="0.2">
      <c r="A14" s="400" t="s">
        <v>445</v>
      </c>
      <c r="B14" s="394"/>
      <c r="C14" s="394"/>
      <c r="D14" s="394"/>
      <c r="E14" s="394"/>
      <c r="F14" s="394"/>
      <c r="G14" s="394"/>
      <c r="H14" s="394"/>
      <c r="I14" s="394"/>
      <c r="J14" s="394"/>
      <c r="K14" s="394"/>
      <c r="L14" s="394">
        <v>78</v>
      </c>
      <c r="M14" s="394">
        <v>49</v>
      </c>
      <c r="N14" s="399">
        <v>100</v>
      </c>
      <c r="O14" s="399">
        <v>47</v>
      </c>
      <c r="P14" s="399">
        <v>115</v>
      </c>
      <c r="Q14" s="399" t="s">
        <v>207</v>
      </c>
      <c r="R14" s="399" t="s">
        <v>207</v>
      </c>
      <c r="S14" s="399" t="s">
        <v>207</v>
      </c>
      <c r="T14" s="399" t="s">
        <v>207</v>
      </c>
      <c r="U14" s="399" t="s">
        <v>207</v>
      </c>
    </row>
    <row r="15" spans="1:26" s="398" customFormat="1" ht="15" customHeight="1" outlineLevel="1" x14ac:dyDescent="0.2">
      <c r="A15" s="400" t="s">
        <v>446</v>
      </c>
      <c r="B15" s="394"/>
      <c r="C15" s="394"/>
      <c r="D15" s="394"/>
      <c r="E15" s="394"/>
      <c r="F15" s="394"/>
      <c r="G15" s="394"/>
      <c r="H15" s="394"/>
      <c r="I15" s="394"/>
      <c r="J15" s="394"/>
      <c r="K15" s="394"/>
      <c r="L15" s="394">
        <v>31</v>
      </c>
      <c r="M15" s="394">
        <v>19</v>
      </c>
      <c r="N15" s="399">
        <v>39</v>
      </c>
      <c r="O15" s="399">
        <v>19</v>
      </c>
      <c r="P15" s="399">
        <v>43</v>
      </c>
      <c r="Q15" s="399" t="s">
        <v>207</v>
      </c>
      <c r="R15" s="399" t="s">
        <v>207</v>
      </c>
      <c r="S15" s="399" t="s">
        <v>207</v>
      </c>
      <c r="T15" s="399" t="s">
        <v>207</v>
      </c>
      <c r="U15" s="399" t="s">
        <v>207</v>
      </c>
    </row>
    <row r="16" spans="1:26" s="398" customFormat="1" ht="15" customHeight="1" outlineLevel="1" x14ac:dyDescent="0.2">
      <c r="A16" s="400" t="s">
        <v>447</v>
      </c>
      <c r="B16" s="394"/>
      <c r="C16" s="394"/>
      <c r="D16" s="394"/>
      <c r="E16" s="394"/>
      <c r="F16" s="394"/>
      <c r="G16" s="394"/>
      <c r="H16" s="394"/>
      <c r="I16" s="394"/>
      <c r="J16" s="394"/>
      <c r="K16" s="394"/>
      <c r="L16" s="394">
        <v>7</v>
      </c>
      <c r="M16" s="394">
        <v>4</v>
      </c>
      <c r="N16" s="399">
        <v>9</v>
      </c>
      <c r="O16" s="399">
        <v>4</v>
      </c>
      <c r="P16" s="399">
        <v>9</v>
      </c>
      <c r="Q16" s="399" t="s">
        <v>207</v>
      </c>
      <c r="R16" s="399" t="s">
        <v>207</v>
      </c>
      <c r="S16" s="399" t="s">
        <v>207</v>
      </c>
      <c r="T16" s="399" t="s">
        <v>207</v>
      </c>
      <c r="U16" s="399" t="s">
        <v>207</v>
      </c>
    </row>
    <row r="17" spans="1:26" s="398" customFormat="1" ht="15" customHeight="1" outlineLevel="1" x14ac:dyDescent="0.2">
      <c r="A17" s="400" t="s">
        <v>448</v>
      </c>
      <c r="B17" s="394"/>
      <c r="C17" s="394"/>
      <c r="D17" s="394"/>
      <c r="E17" s="394"/>
      <c r="F17" s="394"/>
      <c r="G17" s="394"/>
      <c r="H17" s="394"/>
      <c r="I17" s="394"/>
      <c r="J17" s="394"/>
      <c r="K17" s="394"/>
      <c r="L17" s="394">
        <v>116</v>
      </c>
      <c r="M17" s="394">
        <v>64</v>
      </c>
      <c r="N17" s="399">
        <v>142</v>
      </c>
      <c r="O17" s="399">
        <v>42</v>
      </c>
      <c r="P17" s="399">
        <v>148</v>
      </c>
      <c r="Q17" s="399" t="s">
        <v>207</v>
      </c>
      <c r="R17" s="399" t="s">
        <v>207</v>
      </c>
      <c r="S17" s="399" t="s">
        <v>207</v>
      </c>
      <c r="T17" s="399" t="s">
        <v>207</v>
      </c>
      <c r="U17" s="399" t="s">
        <v>207</v>
      </c>
    </row>
    <row r="18" spans="1:26" ht="15" customHeight="1" x14ac:dyDescent="0.2">
      <c r="A18" s="178" t="s">
        <v>451</v>
      </c>
      <c r="B18" s="177"/>
      <c r="C18" s="177"/>
      <c r="D18" s="177"/>
      <c r="E18" s="177"/>
      <c r="F18" s="177"/>
      <c r="G18" s="177"/>
      <c r="H18" s="177"/>
      <c r="I18" s="243"/>
      <c r="J18" s="243"/>
      <c r="K18" s="174"/>
      <c r="L18" s="174"/>
      <c r="M18" s="174"/>
      <c r="N18" s="174"/>
      <c r="O18" s="174"/>
      <c r="P18" s="174"/>
      <c r="Q18" s="174"/>
      <c r="R18" s="174"/>
      <c r="S18" s="174"/>
      <c r="T18" s="174"/>
      <c r="U18" s="174"/>
    </row>
    <row r="19" spans="1:26" ht="15" customHeight="1" outlineLevel="1" x14ac:dyDescent="0.2">
      <c r="A19" s="387" t="s">
        <v>142</v>
      </c>
      <c r="B19" s="177"/>
      <c r="C19" s="177"/>
      <c r="D19" s="177"/>
      <c r="E19" s="177"/>
      <c r="F19" s="177"/>
      <c r="G19" s="177"/>
      <c r="H19" s="177"/>
      <c r="I19" s="243"/>
      <c r="J19" s="243"/>
      <c r="K19" s="174"/>
      <c r="L19" s="174"/>
      <c r="M19" s="174"/>
      <c r="N19" s="174"/>
      <c r="O19" s="174"/>
      <c r="P19" s="174"/>
      <c r="Q19" s="174"/>
      <c r="R19" s="174"/>
      <c r="S19" s="174"/>
      <c r="T19" s="174"/>
      <c r="U19" s="174"/>
      <c r="V19" s="381"/>
    </row>
    <row r="20" spans="1:26" ht="15" customHeight="1" outlineLevel="1" x14ac:dyDescent="0.2">
      <c r="A20" s="269" t="s">
        <v>143</v>
      </c>
      <c r="B20" s="86">
        <v>236</v>
      </c>
      <c r="C20" s="86" t="s">
        <v>207</v>
      </c>
      <c r="D20" s="86">
        <v>240</v>
      </c>
      <c r="E20" s="86">
        <v>114</v>
      </c>
      <c r="F20" s="86">
        <v>234</v>
      </c>
      <c r="G20" s="86">
        <v>115</v>
      </c>
      <c r="H20" s="86">
        <v>234</v>
      </c>
      <c r="I20" s="86">
        <v>109</v>
      </c>
      <c r="J20" s="86">
        <v>232</v>
      </c>
      <c r="K20" s="267">
        <v>109</v>
      </c>
      <c r="L20" s="267">
        <v>228</v>
      </c>
      <c r="M20" s="267">
        <v>109</v>
      </c>
      <c r="N20" s="264">
        <v>197</v>
      </c>
      <c r="O20" s="264">
        <v>122</v>
      </c>
      <c r="P20" s="264">
        <v>218</v>
      </c>
      <c r="Q20" s="264">
        <v>79</v>
      </c>
      <c r="R20" s="399">
        <v>155</v>
      </c>
      <c r="S20" s="399">
        <f>74-S29</f>
        <v>72</v>
      </c>
      <c r="T20" s="399">
        <v>150</v>
      </c>
      <c r="U20" s="399">
        <v>79</v>
      </c>
      <c r="W20" s="268"/>
      <c r="X20" s="268"/>
      <c r="Y20" s="268"/>
      <c r="Z20" s="268"/>
    </row>
    <row r="21" spans="1:26" ht="15" customHeight="1" outlineLevel="1" x14ac:dyDescent="0.2">
      <c r="A21" s="269" t="s">
        <v>144</v>
      </c>
      <c r="B21" s="86">
        <v>400</v>
      </c>
      <c r="C21" s="86" t="s">
        <v>207</v>
      </c>
      <c r="D21" s="86">
        <v>367</v>
      </c>
      <c r="E21" s="86">
        <v>154</v>
      </c>
      <c r="F21" s="86">
        <v>358</v>
      </c>
      <c r="G21" s="86">
        <v>155</v>
      </c>
      <c r="H21" s="86">
        <v>352</v>
      </c>
      <c r="I21" s="86">
        <v>159</v>
      </c>
      <c r="J21" s="86">
        <v>358</v>
      </c>
      <c r="K21" s="267">
        <v>172</v>
      </c>
      <c r="L21" s="267">
        <v>356</v>
      </c>
      <c r="M21" s="267">
        <v>177</v>
      </c>
      <c r="N21" s="264">
        <v>343</v>
      </c>
      <c r="O21" s="264">
        <v>182</v>
      </c>
      <c r="P21" s="264">
        <v>374</v>
      </c>
      <c r="Q21" s="264">
        <v>176</v>
      </c>
      <c r="R21" s="399">
        <v>368</v>
      </c>
      <c r="S21" s="399">
        <v>191</v>
      </c>
      <c r="T21" s="399">
        <v>431</v>
      </c>
      <c r="U21" s="399">
        <v>205</v>
      </c>
    </row>
    <row r="22" spans="1:26" ht="15" customHeight="1" outlineLevel="1" x14ac:dyDescent="0.2">
      <c r="A22" s="269" t="s">
        <v>145</v>
      </c>
      <c r="B22" s="86">
        <v>2684</v>
      </c>
      <c r="C22" s="86" t="s">
        <v>207</v>
      </c>
      <c r="D22" s="86">
        <v>2731</v>
      </c>
      <c r="E22" s="86">
        <v>1363</v>
      </c>
      <c r="F22" s="86">
        <v>2665</v>
      </c>
      <c r="G22" s="86">
        <v>1278</v>
      </c>
      <c r="H22" s="86">
        <v>2629</v>
      </c>
      <c r="I22" s="86">
        <v>1288</v>
      </c>
      <c r="J22" s="86">
        <v>2579</v>
      </c>
      <c r="K22" s="267">
        <v>1345</v>
      </c>
      <c r="L22" s="267">
        <v>2667</v>
      </c>
      <c r="M22" s="267">
        <v>1312</v>
      </c>
      <c r="N22" s="264">
        <v>2464</v>
      </c>
      <c r="O22" s="264">
        <v>1434</v>
      </c>
      <c r="P22" s="264">
        <v>2779</v>
      </c>
      <c r="Q22" s="264">
        <v>1305</v>
      </c>
      <c r="R22" s="399">
        <v>2405</v>
      </c>
      <c r="S22" s="399">
        <v>1505</v>
      </c>
      <c r="T22" s="399">
        <v>2913</v>
      </c>
      <c r="U22" s="399">
        <v>1485</v>
      </c>
      <c r="V22" s="268"/>
      <c r="W22" s="268"/>
      <c r="X22" s="268"/>
    </row>
    <row r="23" spans="1:26" ht="15" customHeight="1" outlineLevel="1" x14ac:dyDescent="0.2">
      <c r="A23" s="269" t="s">
        <v>146</v>
      </c>
      <c r="B23" s="86">
        <v>637</v>
      </c>
      <c r="C23" s="86" t="s">
        <v>207</v>
      </c>
      <c r="D23" s="86">
        <v>664</v>
      </c>
      <c r="E23" s="86">
        <v>333</v>
      </c>
      <c r="F23" s="86">
        <v>655</v>
      </c>
      <c r="G23" s="86">
        <v>331</v>
      </c>
      <c r="H23" s="86">
        <v>652</v>
      </c>
      <c r="I23" s="86">
        <v>309</v>
      </c>
      <c r="J23" s="86">
        <v>629</v>
      </c>
      <c r="K23" s="267">
        <v>319</v>
      </c>
      <c r="L23" s="267">
        <v>629</v>
      </c>
      <c r="M23" s="267">
        <v>322</v>
      </c>
      <c r="N23" s="264">
        <v>590</v>
      </c>
      <c r="O23" s="264">
        <v>370</v>
      </c>
      <c r="P23" s="264">
        <v>669</v>
      </c>
      <c r="Q23" s="264">
        <v>311</v>
      </c>
      <c r="R23" s="399">
        <v>657</v>
      </c>
      <c r="S23" s="399">
        <v>349</v>
      </c>
      <c r="T23" s="399">
        <v>657</v>
      </c>
      <c r="U23" s="399">
        <v>380</v>
      </c>
    </row>
    <row r="24" spans="1:26" ht="15" customHeight="1" outlineLevel="1" x14ac:dyDescent="0.2">
      <c r="A24" s="269" t="s">
        <v>147</v>
      </c>
      <c r="B24" s="86"/>
      <c r="C24" s="86"/>
      <c r="D24" s="86"/>
      <c r="E24" s="86">
        <v>61</v>
      </c>
      <c r="F24" s="86"/>
      <c r="G24" s="86">
        <v>61</v>
      </c>
      <c r="H24" s="86"/>
      <c r="I24" s="86">
        <v>61</v>
      </c>
      <c r="J24" s="86"/>
      <c r="K24" s="267"/>
      <c r="L24" s="267"/>
      <c r="M24" s="267"/>
      <c r="N24" s="264">
        <v>93</v>
      </c>
      <c r="O24" s="264">
        <v>0</v>
      </c>
      <c r="P24" s="264">
        <v>155</v>
      </c>
      <c r="Q24" s="399" t="s">
        <v>207</v>
      </c>
      <c r="R24" s="399" t="s">
        <v>207</v>
      </c>
      <c r="S24" s="399" t="s">
        <v>207</v>
      </c>
      <c r="T24" s="399" t="s">
        <v>207</v>
      </c>
      <c r="U24" s="399" t="s">
        <v>207</v>
      </c>
    </row>
    <row r="25" spans="1:26" ht="15" customHeight="1" outlineLevel="1" x14ac:dyDescent="0.2">
      <c r="A25" s="387" t="s">
        <v>148</v>
      </c>
      <c r="B25" s="86"/>
      <c r="C25" s="86"/>
      <c r="D25" s="86"/>
      <c r="E25" s="86"/>
      <c r="F25" s="86"/>
      <c r="G25" s="86"/>
      <c r="H25" s="86"/>
      <c r="I25" s="86"/>
      <c r="J25" s="86"/>
      <c r="K25" s="267"/>
      <c r="L25" s="267"/>
      <c r="M25" s="267"/>
      <c r="N25" s="267"/>
      <c r="O25" s="267"/>
      <c r="P25" s="267"/>
      <c r="Q25" s="267"/>
      <c r="R25" s="267"/>
      <c r="S25" s="267"/>
      <c r="T25" s="267"/>
      <c r="U25" s="267"/>
    </row>
    <row r="26" spans="1:26" ht="15" customHeight="1" outlineLevel="1" x14ac:dyDescent="0.2">
      <c r="A26" s="269" t="s">
        <v>143</v>
      </c>
      <c r="B26" s="86">
        <v>29</v>
      </c>
      <c r="C26" s="86" t="s">
        <v>207</v>
      </c>
      <c r="D26" s="86">
        <v>45</v>
      </c>
      <c r="E26" s="86">
        <v>23</v>
      </c>
      <c r="F26" s="86">
        <v>50</v>
      </c>
      <c r="G26" s="86">
        <v>21</v>
      </c>
      <c r="H26" s="86">
        <v>46</v>
      </c>
      <c r="I26" s="86">
        <v>19</v>
      </c>
      <c r="J26" s="86">
        <v>45</v>
      </c>
      <c r="K26" s="267">
        <v>18</v>
      </c>
      <c r="L26" s="267">
        <v>42</v>
      </c>
      <c r="M26" s="267">
        <v>21</v>
      </c>
      <c r="N26" s="264">
        <v>43</v>
      </c>
      <c r="O26" s="264">
        <v>23</v>
      </c>
      <c r="P26" s="264">
        <v>53</v>
      </c>
      <c r="Q26" s="264">
        <v>27</v>
      </c>
      <c r="R26" s="399">
        <v>60</v>
      </c>
      <c r="S26" s="399">
        <v>27</v>
      </c>
      <c r="T26" s="399">
        <v>60</v>
      </c>
      <c r="U26" s="399">
        <v>30</v>
      </c>
    </row>
    <row r="27" spans="1:26" ht="15" customHeight="1" x14ac:dyDescent="0.2">
      <c r="A27" s="178" t="s">
        <v>442</v>
      </c>
      <c r="B27" s="86"/>
      <c r="C27" s="86"/>
      <c r="D27" s="86"/>
      <c r="E27" s="86"/>
      <c r="F27" s="86"/>
      <c r="G27" s="86"/>
      <c r="H27" s="86"/>
      <c r="I27" s="86"/>
      <c r="J27" s="86"/>
      <c r="K27" s="267"/>
      <c r="L27" s="267"/>
      <c r="M27" s="267"/>
      <c r="N27" s="267"/>
      <c r="O27" s="267"/>
      <c r="P27" s="267"/>
      <c r="Q27" s="267"/>
      <c r="R27" s="267"/>
      <c r="S27" s="267"/>
      <c r="T27" s="267"/>
      <c r="U27" s="267"/>
    </row>
    <row r="28" spans="1:26" ht="15" customHeight="1" x14ac:dyDescent="0.2">
      <c r="A28" s="387" t="s">
        <v>441</v>
      </c>
      <c r="B28" s="86"/>
      <c r="C28" s="86"/>
      <c r="D28" s="86"/>
      <c r="E28" s="86"/>
      <c r="F28" s="86"/>
      <c r="G28" s="86"/>
      <c r="H28" s="86"/>
      <c r="I28" s="86"/>
      <c r="J28" s="86"/>
      <c r="K28" s="267"/>
      <c r="L28" s="267"/>
      <c r="M28" s="267"/>
      <c r="N28" s="267"/>
      <c r="O28" s="267"/>
      <c r="P28" s="267"/>
      <c r="Q28" s="267"/>
      <c r="R28" s="267"/>
      <c r="S28" s="267"/>
      <c r="T28" s="267"/>
      <c r="U28" s="267"/>
    </row>
    <row r="29" spans="1:26" ht="15" customHeight="1" x14ac:dyDescent="0.2">
      <c r="A29" s="269" t="s">
        <v>606</v>
      </c>
      <c r="B29" s="267" t="s">
        <v>207</v>
      </c>
      <c r="C29" s="267" t="s">
        <v>207</v>
      </c>
      <c r="D29" s="267" t="s">
        <v>207</v>
      </c>
      <c r="E29" s="267" t="s">
        <v>207</v>
      </c>
      <c r="F29" s="267" t="s">
        <v>207</v>
      </c>
      <c r="G29" s="267" t="s">
        <v>207</v>
      </c>
      <c r="H29" s="267" t="s">
        <v>207</v>
      </c>
      <c r="I29" s="267" t="s">
        <v>207</v>
      </c>
      <c r="J29" s="267" t="s">
        <v>207</v>
      </c>
      <c r="K29" s="267" t="s">
        <v>207</v>
      </c>
      <c r="L29" s="267" t="s">
        <v>207</v>
      </c>
      <c r="M29" s="267" t="s">
        <v>207</v>
      </c>
      <c r="N29" s="267" t="s">
        <v>207</v>
      </c>
      <c r="O29" s="267" t="s">
        <v>207</v>
      </c>
      <c r="P29" s="267" t="s">
        <v>207</v>
      </c>
      <c r="Q29" s="392">
        <v>0</v>
      </c>
      <c r="R29" s="267">
        <v>1</v>
      </c>
      <c r="S29" s="267">
        <v>2</v>
      </c>
      <c r="T29" s="267">
        <v>7</v>
      </c>
      <c r="U29" s="267">
        <v>4</v>
      </c>
    </row>
    <row r="30" spans="1:26" ht="15" customHeight="1" x14ac:dyDescent="0.2">
      <c r="A30" s="269" t="s">
        <v>607</v>
      </c>
      <c r="B30" s="267" t="s">
        <v>207</v>
      </c>
      <c r="C30" s="267" t="s">
        <v>207</v>
      </c>
      <c r="D30" s="267" t="s">
        <v>207</v>
      </c>
      <c r="E30" s="267" t="s">
        <v>207</v>
      </c>
      <c r="F30" s="267" t="s">
        <v>207</v>
      </c>
      <c r="G30" s="267" t="s">
        <v>207</v>
      </c>
      <c r="H30" s="267" t="s">
        <v>207</v>
      </c>
      <c r="I30" s="267" t="s">
        <v>207</v>
      </c>
      <c r="J30" s="267" t="s">
        <v>207</v>
      </c>
      <c r="K30" s="267" t="s">
        <v>207</v>
      </c>
      <c r="L30" s="267" t="s">
        <v>207</v>
      </c>
      <c r="M30" s="267" t="s">
        <v>207</v>
      </c>
      <c r="N30" s="267" t="s">
        <v>207</v>
      </c>
      <c r="O30" s="267" t="s">
        <v>207</v>
      </c>
      <c r="P30" s="267" t="s">
        <v>207</v>
      </c>
      <c r="Q30" s="267">
        <v>1</v>
      </c>
      <c r="R30" s="267">
        <v>5</v>
      </c>
      <c r="S30" s="267">
        <v>3</v>
      </c>
      <c r="T30" s="267">
        <v>8</v>
      </c>
      <c r="U30" s="267">
        <v>10</v>
      </c>
    </row>
    <row r="31" spans="1:26" ht="15" customHeight="1" x14ac:dyDescent="0.2">
      <c r="A31" s="269" t="s">
        <v>608</v>
      </c>
      <c r="B31" s="267" t="s">
        <v>207</v>
      </c>
      <c r="C31" s="267" t="s">
        <v>207</v>
      </c>
      <c r="D31" s="267" t="s">
        <v>207</v>
      </c>
      <c r="E31" s="267" t="s">
        <v>207</v>
      </c>
      <c r="F31" s="267" t="s">
        <v>207</v>
      </c>
      <c r="G31" s="267" t="s">
        <v>207</v>
      </c>
      <c r="H31" s="267" t="s">
        <v>207</v>
      </c>
      <c r="I31" s="267" t="s">
        <v>207</v>
      </c>
      <c r="J31" s="267" t="s">
        <v>207</v>
      </c>
      <c r="K31" s="267" t="s">
        <v>207</v>
      </c>
      <c r="L31" s="267" t="s">
        <v>207</v>
      </c>
      <c r="M31" s="267" t="s">
        <v>207</v>
      </c>
      <c r="N31" s="267" t="s">
        <v>207</v>
      </c>
      <c r="O31" s="267" t="s">
        <v>207</v>
      </c>
      <c r="P31" s="267" t="s">
        <v>207</v>
      </c>
      <c r="Q31" s="267">
        <v>1</v>
      </c>
      <c r="R31" s="267">
        <v>3</v>
      </c>
      <c r="S31" s="267">
        <v>3</v>
      </c>
      <c r="T31" s="267">
        <v>8</v>
      </c>
      <c r="U31" s="267">
        <v>11</v>
      </c>
    </row>
    <row r="32" spans="1:26" ht="15" customHeight="1" x14ac:dyDescent="0.2">
      <c r="A32" s="269" t="s">
        <v>609</v>
      </c>
      <c r="B32" s="267" t="s">
        <v>207</v>
      </c>
      <c r="C32" s="267" t="s">
        <v>207</v>
      </c>
      <c r="D32" s="267" t="s">
        <v>207</v>
      </c>
      <c r="E32" s="267" t="s">
        <v>207</v>
      </c>
      <c r="F32" s="267" t="s">
        <v>207</v>
      </c>
      <c r="G32" s="267" t="s">
        <v>207</v>
      </c>
      <c r="H32" s="267" t="s">
        <v>207</v>
      </c>
      <c r="I32" s="267" t="s">
        <v>207</v>
      </c>
      <c r="J32" s="267" t="s">
        <v>207</v>
      </c>
      <c r="K32" s="267" t="s">
        <v>207</v>
      </c>
      <c r="L32" s="267" t="s">
        <v>207</v>
      </c>
      <c r="M32" s="267" t="s">
        <v>207</v>
      </c>
      <c r="N32" s="267" t="s">
        <v>207</v>
      </c>
      <c r="O32" s="267" t="s">
        <v>207</v>
      </c>
      <c r="P32" s="267" t="s">
        <v>207</v>
      </c>
      <c r="Q32" s="392">
        <v>0</v>
      </c>
      <c r="R32" s="392">
        <v>0</v>
      </c>
      <c r="S32" s="392">
        <v>0</v>
      </c>
      <c r="T32" s="267">
        <v>1</v>
      </c>
      <c r="U32" s="267">
        <v>1</v>
      </c>
    </row>
    <row r="33" spans="1:23" ht="15" customHeight="1" outlineLevel="1" x14ac:dyDescent="0.2">
      <c r="A33" s="387" t="s">
        <v>148</v>
      </c>
      <c r="B33" s="86"/>
      <c r="C33" s="86"/>
      <c r="D33" s="86"/>
      <c r="E33" s="86"/>
      <c r="F33" s="86"/>
      <c r="G33" s="86"/>
      <c r="H33" s="86"/>
      <c r="I33" s="86"/>
      <c r="J33" s="86"/>
      <c r="K33" s="267"/>
      <c r="L33" s="267"/>
      <c r="M33" s="267"/>
      <c r="N33" s="267"/>
      <c r="O33" s="267"/>
      <c r="P33" s="267"/>
      <c r="Q33" s="267"/>
      <c r="R33" s="267"/>
      <c r="S33" s="267"/>
      <c r="T33" s="267"/>
      <c r="U33" s="267"/>
    </row>
    <row r="34" spans="1:23" ht="15" customHeight="1" outlineLevel="1" x14ac:dyDescent="0.2">
      <c r="A34" s="269" t="s">
        <v>607</v>
      </c>
      <c r="B34" s="86">
        <v>5</v>
      </c>
      <c r="C34" s="86" t="s">
        <v>207</v>
      </c>
      <c r="D34" s="86">
        <v>11</v>
      </c>
      <c r="E34" s="86">
        <v>2</v>
      </c>
      <c r="F34" s="86">
        <v>5</v>
      </c>
      <c r="G34" s="86">
        <v>1</v>
      </c>
      <c r="H34" s="86">
        <v>1</v>
      </c>
      <c r="I34" s="86">
        <v>4</v>
      </c>
      <c r="J34" s="86">
        <v>7</v>
      </c>
      <c r="K34" s="267">
        <v>3</v>
      </c>
      <c r="L34" s="267">
        <v>11</v>
      </c>
      <c r="M34" s="267">
        <v>6</v>
      </c>
      <c r="N34" s="264">
        <v>13</v>
      </c>
      <c r="O34" s="264">
        <v>3</v>
      </c>
      <c r="P34" s="264">
        <v>10</v>
      </c>
      <c r="Q34" s="264">
        <v>5</v>
      </c>
      <c r="R34" s="399">
        <v>13</v>
      </c>
      <c r="S34" s="399">
        <v>7</v>
      </c>
      <c r="T34" s="399">
        <v>16</v>
      </c>
      <c r="U34" s="399">
        <v>8</v>
      </c>
    </row>
    <row r="35" spans="1:23" ht="15" customHeight="1" outlineLevel="1" x14ac:dyDescent="0.2">
      <c r="A35" s="269" t="s">
        <v>610</v>
      </c>
      <c r="B35" s="267" t="s">
        <v>207</v>
      </c>
      <c r="C35" s="267" t="s">
        <v>207</v>
      </c>
      <c r="D35" s="267" t="s">
        <v>207</v>
      </c>
      <c r="E35" s="267" t="s">
        <v>207</v>
      </c>
      <c r="F35" s="267" t="s">
        <v>207</v>
      </c>
      <c r="G35" s="267" t="s">
        <v>207</v>
      </c>
      <c r="H35" s="267" t="s">
        <v>207</v>
      </c>
      <c r="I35" s="267" t="s">
        <v>207</v>
      </c>
      <c r="J35" s="267" t="s">
        <v>207</v>
      </c>
      <c r="K35" s="267" t="s">
        <v>207</v>
      </c>
      <c r="L35" s="267" t="s">
        <v>207</v>
      </c>
      <c r="M35" s="267" t="s">
        <v>207</v>
      </c>
      <c r="N35" s="267" t="s">
        <v>207</v>
      </c>
      <c r="O35" s="267" t="s">
        <v>207</v>
      </c>
      <c r="P35" s="267">
        <v>57</v>
      </c>
      <c r="Q35" s="264">
        <v>22</v>
      </c>
      <c r="R35" s="267">
        <v>42</v>
      </c>
      <c r="S35" s="399">
        <v>20</v>
      </c>
      <c r="T35" s="399">
        <v>53</v>
      </c>
      <c r="U35" s="399">
        <v>41</v>
      </c>
    </row>
    <row r="36" spans="1:23" ht="15" customHeight="1" outlineLevel="1" x14ac:dyDescent="0.2">
      <c r="A36" s="269" t="s">
        <v>609</v>
      </c>
      <c r="B36" s="267" t="s">
        <v>207</v>
      </c>
      <c r="C36" s="267" t="s">
        <v>207</v>
      </c>
      <c r="D36" s="267" t="s">
        <v>207</v>
      </c>
      <c r="E36" s="267" t="s">
        <v>207</v>
      </c>
      <c r="F36" s="267" t="s">
        <v>207</v>
      </c>
      <c r="G36" s="267" t="s">
        <v>207</v>
      </c>
      <c r="H36" s="267" t="s">
        <v>207</v>
      </c>
      <c r="I36" s="267" t="s">
        <v>207</v>
      </c>
      <c r="J36" s="267" t="s">
        <v>207</v>
      </c>
      <c r="K36" s="267" t="s">
        <v>207</v>
      </c>
      <c r="L36" s="267" t="s">
        <v>207</v>
      </c>
      <c r="M36" s="267" t="s">
        <v>207</v>
      </c>
      <c r="N36" s="267" t="s">
        <v>207</v>
      </c>
      <c r="O36" s="267" t="s">
        <v>207</v>
      </c>
      <c r="P36" s="267">
        <v>21</v>
      </c>
      <c r="Q36" s="264">
        <v>7</v>
      </c>
      <c r="R36" s="267">
        <v>10</v>
      </c>
      <c r="S36" s="399">
        <v>4</v>
      </c>
      <c r="T36" s="399">
        <v>10</v>
      </c>
      <c r="U36" s="399">
        <v>9</v>
      </c>
    </row>
    <row r="37" spans="1:23" ht="15" customHeight="1" outlineLevel="1" x14ac:dyDescent="0.2">
      <c r="A37" s="387" t="s">
        <v>66</v>
      </c>
      <c r="B37" s="86"/>
      <c r="C37" s="86"/>
      <c r="D37" s="86"/>
      <c r="E37" s="86"/>
      <c r="F37" s="86"/>
      <c r="G37" s="86"/>
      <c r="H37" s="86"/>
      <c r="I37" s="86"/>
      <c r="J37" s="86"/>
      <c r="K37" s="267"/>
      <c r="L37" s="267"/>
      <c r="M37" s="267"/>
      <c r="N37" s="267"/>
      <c r="O37" s="267"/>
      <c r="P37" s="267"/>
      <c r="Q37" s="267"/>
      <c r="R37" s="267"/>
      <c r="S37" s="267"/>
      <c r="T37" s="267"/>
      <c r="U37" s="267"/>
    </row>
    <row r="38" spans="1:23" ht="15" customHeight="1" outlineLevel="1" x14ac:dyDescent="0.2">
      <c r="A38" s="269" t="s">
        <v>143</v>
      </c>
      <c r="B38" s="86">
        <v>14</v>
      </c>
      <c r="C38" s="86" t="s">
        <v>207</v>
      </c>
      <c r="D38" s="86">
        <v>10</v>
      </c>
      <c r="E38" s="86">
        <v>4</v>
      </c>
      <c r="F38" s="86">
        <v>7</v>
      </c>
      <c r="G38" s="86">
        <v>5</v>
      </c>
      <c r="H38" s="86">
        <v>7</v>
      </c>
      <c r="I38" s="170">
        <v>4</v>
      </c>
      <c r="J38" s="170">
        <v>7</v>
      </c>
      <c r="K38" s="181">
        <v>1</v>
      </c>
      <c r="L38" s="181">
        <v>3</v>
      </c>
      <c r="M38" s="181">
        <v>1</v>
      </c>
      <c r="N38" s="264">
        <v>1</v>
      </c>
      <c r="O38" s="264">
        <v>0</v>
      </c>
      <c r="P38" s="264">
        <v>0</v>
      </c>
      <c r="Q38" s="264">
        <v>0</v>
      </c>
      <c r="R38" s="264">
        <v>0</v>
      </c>
      <c r="S38" s="399">
        <v>0</v>
      </c>
      <c r="T38" s="264">
        <v>0</v>
      </c>
      <c r="U38" s="399">
        <v>0</v>
      </c>
    </row>
    <row r="39" spans="1:23" ht="15" customHeight="1" outlineLevel="1" x14ac:dyDescent="0.2">
      <c r="A39" s="269" t="s">
        <v>144</v>
      </c>
      <c r="B39" s="86">
        <v>10</v>
      </c>
      <c r="C39" s="86" t="s">
        <v>207</v>
      </c>
      <c r="D39" s="86">
        <v>10</v>
      </c>
      <c r="E39" s="86">
        <v>4</v>
      </c>
      <c r="F39" s="86">
        <v>6</v>
      </c>
      <c r="G39" s="86">
        <v>4</v>
      </c>
      <c r="H39" s="86">
        <v>5</v>
      </c>
      <c r="I39" s="86">
        <v>3</v>
      </c>
      <c r="J39" s="86">
        <v>5</v>
      </c>
      <c r="K39" s="263">
        <v>1</v>
      </c>
      <c r="L39" s="263">
        <v>2</v>
      </c>
      <c r="M39" s="263">
        <v>1</v>
      </c>
      <c r="N39" s="264">
        <v>1</v>
      </c>
      <c r="O39" s="264">
        <v>0</v>
      </c>
      <c r="P39" s="264">
        <v>0</v>
      </c>
      <c r="Q39" s="264">
        <v>0</v>
      </c>
      <c r="R39" s="264">
        <v>0</v>
      </c>
      <c r="S39" s="399">
        <v>0</v>
      </c>
      <c r="T39" s="264">
        <v>0</v>
      </c>
      <c r="U39" s="399">
        <v>0</v>
      </c>
    </row>
    <row r="40" spans="1:23" ht="15" customHeight="1" outlineLevel="1" x14ac:dyDescent="0.2">
      <c r="A40" s="269" t="s">
        <v>145</v>
      </c>
      <c r="B40" s="86">
        <v>46</v>
      </c>
      <c r="C40" s="86" t="s">
        <v>207</v>
      </c>
      <c r="D40" s="86">
        <v>75</v>
      </c>
      <c r="E40" s="86">
        <v>19</v>
      </c>
      <c r="F40" s="86">
        <v>31</v>
      </c>
      <c r="G40" s="86">
        <v>19</v>
      </c>
      <c r="H40" s="86">
        <v>0</v>
      </c>
      <c r="I40" s="86">
        <v>0</v>
      </c>
      <c r="J40" s="86">
        <v>0</v>
      </c>
      <c r="K40" s="263"/>
      <c r="L40" s="263"/>
      <c r="M40" s="263"/>
      <c r="N40" s="264">
        <v>0</v>
      </c>
      <c r="O40" s="264">
        <v>0</v>
      </c>
      <c r="P40" s="264">
        <v>0</v>
      </c>
      <c r="Q40" s="264">
        <v>0</v>
      </c>
      <c r="R40" s="264">
        <v>0</v>
      </c>
      <c r="S40" s="399">
        <v>0</v>
      </c>
      <c r="T40" s="264">
        <v>0</v>
      </c>
      <c r="U40" s="399">
        <v>0</v>
      </c>
    </row>
    <row r="41" spans="1:23" ht="15" customHeight="1" outlineLevel="1" x14ac:dyDescent="0.2">
      <c r="A41" s="269" t="s">
        <v>146</v>
      </c>
      <c r="B41" s="86">
        <v>7</v>
      </c>
      <c r="C41" s="86" t="s">
        <v>207</v>
      </c>
      <c r="D41" s="86">
        <v>14</v>
      </c>
      <c r="E41" s="86">
        <v>3</v>
      </c>
      <c r="F41" s="86">
        <v>6</v>
      </c>
      <c r="G41" s="86">
        <v>4</v>
      </c>
      <c r="H41" s="86">
        <v>0</v>
      </c>
      <c r="I41" s="86">
        <v>0</v>
      </c>
      <c r="J41" s="86">
        <v>0</v>
      </c>
      <c r="K41" s="263"/>
      <c r="L41" s="263"/>
      <c r="M41" s="263"/>
      <c r="N41" s="264">
        <v>0</v>
      </c>
      <c r="O41" s="264">
        <v>0</v>
      </c>
      <c r="P41" s="264">
        <v>0</v>
      </c>
      <c r="Q41" s="264">
        <v>0</v>
      </c>
      <c r="R41" s="264">
        <v>0</v>
      </c>
      <c r="S41" s="399">
        <v>0</v>
      </c>
      <c r="T41" s="264">
        <v>0</v>
      </c>
      <c r="U41" s="399">
        <v>0</v>
      </c>
    </row>
    <row r="42" spans="1:23" ht="15" customHeight="1" outlineLevel="1" x14ac:dyDescent="0.2">
      <c r="A42" s="269" t="s">
        <v>147</v>
      </c>
      <c r="B42" s="86"/>
      <c r="C42" s="86"/>
      <c r="D42" s="86"/>
      <c r="E42" s="86">
        <v>1</v>
      </c>
      <c r="F42" s="86"/>
      <c r="G42" s="86">
        <v>2</v>
      </c>
      <c r="H42" s="86"/>
      <c r="I42" s="86"/>
      <c r="J42" s="86"/>
      <c r="K42" s="263"/>
      <c r="L42" s="263"/>
      <c r="M42" s="263"/>
      <c r="N42" s="264">
        <v>0</v>
      </c>
      <c r="O42" s="264">
        <v>0</v>
      </c>
      <c r="P42" s="264">
        <v>0</v>
      </c>
      <c r="Q42" s="264">
        <v>0</v>
      </c>
      <c r="R42" s="264">
        <v>0</v>
      </c>
      <c r="S42" s="399">
        <v>0</v>
      </c>
      <c r="T42" s="264">
        <v>0</v>
      </c>
      <c r="U42" s="399">
        <v>0</v>
      </c>
    </row>
    <row r="43" spans="1:23" ht="15" customHeight="1" outlineLevel="1" x14ac:dyDescent="0.2">
      <c r="A43" s="387" t="s">
        <v>454</v>
      </c>
      <c r="B43" s="86"/>
      <c r="C43" s="86"/>
      <c r="D43" s="86"/>
      <c r="E43" s="86"/>
      <c r="F43" s="86"/>
      <c r="G43" s="86"/>
      <c r="H43" s="86"/>
      <c r="I43" s="86"/>
      <c r="J43" s="86"/>
      <c r="K43" s="263"/>
      <c r="L43" s="263"/>
      <c r="M43" s="263"/>
      <c r="N43" s="264"/>
      <c r="O43" s="264"/>
      <c r="P43" s="264"/>
      <c r="Q43" s="264"/>
      <c r="R43" s="264"/>
      <c r="S43" s="399"/>
      <c r="T43" s="264"/>
      <c r="U43" s="399"/>
    </row>
    <row r="44" spans="1:23" ht="15" customHeight="1" outlineLevel="1" x14ac:dyDescent="0.2">
      <c r="A44" s="269" t="s">
        <v>143</v>
      </c>
      <c r="B44" s="86"/>
      <c r="C44" s="86"/>
      <c r="D44" s="86"/>
      <c r="E44" s="86"/>
      <c r="F44" s="86"/>
      <c r="G44" s="86"/>
      <c r="H44" s="86"/>
      <c r="I44" s="86"/>
      <c r="J44" s="86"/>
      <c r="K44" s="263"/>
      <c r="L44" s="263"/>
      <c r="M44" s="263">
        <v>1</v>
      </c>
      <c r="N44" s="264">
        <v>4</v>
      </c>
      <c r="O44" s="264">
        <v>6</v>
      </c>
      <c r="P44" s="264">
        <v>13</v>
      </c>
      <c r="Q44" s="264" t="s">
        <v>207</v>
      </c>
      <c r="R44" s="264" t="s">
        <v>207</v>
      </c>
      <c r="S44" s="399" t="s">
        <v>207</v>
      </c>
      <c r="T44" s="264" t="s">
        <v>207</v>
      </c>
      <c r="U44" s="399" t="s">
        <v>207</v>
      </c>
    </row>
    <row r="45" spans="1:23" ht="15" customHeight="1" outlineLevel="1" x14ac:dyDescent="0.2">
      <c r="A45" s="269" t="s">
        <v>144</v>
      </c>
      <c r="B45" s="86"/>
      <c r="C45" s="86"/>
      <c r="D45" s="86"/>
      <c r="E45" s="86"/>
      <c r="F45" s="86"/>
      <c r="G45" s="86"/>
      <c r="H45" s="86"/>
      <c r="I45" s="86"/>
      <c r="J45" s="86"/>
      <c r="K45" s="263"/>
      <c r="L45" s="263"/>
      <c r="M45" s="263"/>
      <c r="N45" s="264">
        <v>2</v>
      </c>
      <c r="O45" s="264">
        <v>3</v>
      </c>
      <c r="P45" s="264">
        <v>6</v>
      </c>
      <c r="Q45" s="264" t="s">
        <v>207</v>
      </c>
      <c r="R45" s="264" t="s">
        <v>207</v>
      </c>
      <c r="S45" s="399" t="s">
        <v>207</v>
      </c>
      <c r="T45" s="264" t="s">
        <v>207</v>
      </c>
      <c r="U45" s="399" t="s">
        <v>207</v>
      </c>
    </row>
    <row r="46" spans="1:23" s="278" customFormat="1" ht="34.5" customHeight="1" x14ac:dyDescent="0.25">
      <c r="A46" s="277" t="s">
        <v>443</v>
      </c>
      <c r="B46" s="279">
        <v>2009</v>
      </c>
      <c r="C46" s="279" t="s">
        <v>208</v>
      </c>
      <c r="D46" s="279">
        <v>2010</v>
      </c>
      <c r="E46" s="279" t="s">
        <v>209</v>
      </c>
      <c r="F46" s="279">
        <v>2011</v>
      </c>
      <c r="G46" s="279" t="s">
        <v>210</v>
      </c>
      <c r="H46" s="279">
        <v>2012</v>
      </c>
      <c r="I46" s="279" t="s">
        <v>211</v>
      </c>
      <c r="J46" s="279">
        <v>2013</v>
      </c>
      <c r="K46" s="279" t="s">
        <v>212</v>
      </c>
      <c r="L46" s="279">
        <v>2014</v>
      </c>
      <c r="M46" s="279" t="s">
        <v>213</v>
      </c>
      <c r="N46" s="67">
        <v>2015</v>
      </c>
      <c r="O46" s="67" t="s">
        <v>343</v>
      </c>
      <c r="P46" s="67">
        <v>2016</v>
      </c>
      <c r="Q46" s="67" t="s">
        <v>405</v>
      </c>
      <c r="R46" s="67">
        <v>2017</v>
      </c>
      <c r="S46" s="67" t="s">
        <v>431</v>
      </c>
      <c r="T46" s="67">
        <v>2018</v>
      </c>
      <c r="U46" s="163" t="s">
        <v>577</v>
      </c>
    </row>
    <row r="47" spans="1:23" ht="15" customHeight="1" x14ac:dyDescent="0.2">
      <c r="A47" s="118" t="s">
        <v>149</v>
      </c>
      <c r="B47" s="200">
        <v>14853</v>
      </c>
      <c r="C47" s="200">
        <v>21553</v>
      </c>
      <c r="D47" s="200">
        <v>21997</v>
      </c>
      <c r="E47" s="200">
        <v>25782</v>
      </c>
      <c r="F47" s="200">
        <v>23060</v>
      </c>
      <c r="G47" s="200">
        <v>18650</v>
      </c>
      <c r="H47" s="200">
        <v>17719</v>
      </c>
      <c r="I47" s="200">
        <v>16401</v>
      </c>
      <c r="J47" s="200">
        <v>15156</v>
      </c>
      <c r="K47" s="200">
        <v>16898</v>
      </c>
      <c r="L47" s="200">
        <v>17072</v>
      </c>
      <c r="M47" s="200">
        <v>13712</v>
      </c>
      <c r="N47" s="200">
        <v>11962</v>
      </c>
      <c r="O47" s="200">
        <v>8837</v>
      </c>
      <c r="P47" s="200">
        <v>9701</v>
      </c>
      <c r="Q47" s="200">
        <v>10067</v>
      </c>
      <c r="R47" s="200">
        <v>10704</v>
      </c>
      <c r="S47" s="200">
        <v>14141</v>
      </c>
      <c r="T47" s="200">
        <v>13531</v>
      </c>
      <c r="U47" s="200">
        <v>12781</v>
      </c>
      <c r="W47" s="200"/>
    </row>
    <row r="48" spans="1:23" ht="15" customHeight="1" x14ac:dyDescent="0.2">
      <c r="A48" s="118" t="s">
        <v>150</v>
      </c>
      <c r="B48" s="200">
        <v>5258</v>
      </c>
      <c r="C48" s="200">
        <v>7216</v>
      </c>
      <c r="D48" s="200">
        <v>7589</v>
      </c>
      <c r="E48" s="200">
        <v>9499</v>
      </c>
      <c r="F48" s="200">
        <v>8871</v>
      </c>
      <c r="G48" s="200">
        <v>8234</v>
      </c>
      <c r="H48" s="200">
        <v>8015</v>
      </c>
      <c r="I48" s="200">
        <v>7743</v>
      </c>
      <c r="J48" s="200">
        <v>7397</v>
      </c>
      <c r="K48" s="200">
        <v>6969</v>
      </c>
      <c r="L48" s="200">
        <v>6931</v>
      </c>
      <c r="M48" s="200">
        <v>5989</v>
      </c>
      <c r="N48" s="200">
        <v>5585</v>
      </c>
      <c r="O48" s="200">
        <v>4742</v>
      </c>
      <c r="P48" s="200">
        <v>4911</v>
      </c>
      <c r="Q48" s="200">
        <v>5789</v>
      </c>
      <c r="R48" s="200">
        <v>6202</v>
      </c>
      <c r="S48" s="200">
        <v>6989</v>
      </c>
      <c r="T48" s="200">
        <v>6566</v>
      </c>
      <c r="U48" s="200">
        <v>6221</v>
      </c>
      <c r="W48" s="200"/>
    </row>
    <row r="49" spans="1:23" ht="15" customHeight="1" x14ac:dyDescent="0.2">
      <c r="A49" s="118" t="s">
        <v>151</v>
      </c>
      <c r="B49" s="200">
        <v>267</v>
      </c>
      <c r="C49" s="200">
        <v>467</v>
      </c>
      <c r="D49" s="200">
        <v>527</v>
      </c>
      <c r="E49" s="200">
        <v>776</v>
      </c>
      <c r="F49" s="200">
        <v>735</v>
      </c>
      <c r="G49" s="200">
        <v>656</v>
      </c>
      <c r="H49" s="200">
        <v>643</v>
      </c>
      <c r="I49" s="200">
        <v>726</v>
      </c>
      <c r="J49" s="200">
        <v>725</v>
      </c>
      <c r="K49" s="200">
        <v>783</v>
      </c>
      <c r="L49" s="200">
        <v>804</v>
      </c>
      <c r="M49" s="200">
        <v>771</v>
      </c>
      <c r="N49" s="200">
        <v>695</v>
      </c>
      <c r="O49" s="200">
        <v>545</v>
      </c>
      <c r="P49" s="200">
        <v>614</v>
      </c>
      <c r="Q49" s="200">
        <v>791</v>
      </c>
      <c r="R49" s="200">
        <v>858</v>
      </c>
      <c r="S49" s="200">
        <v>1032</v>
      </c>
      <c r="T49" s="200">
        <v>1025</v>
      </c>
      <c r="U49" s="200">
        <v>1406</v>
      </c>
      <c r="W49" s="200"/>
    </row>
    <row r="50" spans="1:23" ht="15" customHeight="1" x14ac:dyDescent="0.2">
      <c r="A50" s="118" t="s">
        <v>152</v>
      </c>
      <c r="B50" s="200">
        <v>1205</v>
      </c>
      <c r="C50" s="200">
        <v>1582</v>
      </c>
      <c r="D50" s="200">
        <v>1603</v>
      </c>
      <c r="E50" s="200">
        <v>1787</v>
      </c>
      <c r="F50" s="200">
        <v>1724</v>
      </c>
      <c r="G50" s="200">
        <v>1550</v>
      </c>
      <c r="H50" s="200">
        <v>1549</v>
      </c>
      <c r="I50" s="200">
        <v>1541</v>
      </c>
      <c r="J50" s="200">
        <v>1481</v>
      </c>
      <c r="K50" s="200">
        <v>1433</v>
      </c>
      <c r="L50" s="270">
        <v>1388</v>
      </c>
      <c r="M50" s="200">
        <v>1157</v>
      </c>
      <c r="N50" s="200">
        <v>1057</v>
      </c>
      <c r="O50" s="200">
        <v>938</v>
      </c>
      <c r="P50" s="200">
        <v>977</v>
      </c>
      <c r="Q50" s="200">
        <v>962</v>
      </c>
      <c r="R50" s="200">
        <v>949</v>
      </c>
      <c r="S50" s="200">
        <v>930</v>
      </c>
      <c r="T50" s="200">
        <v>877</v>
      </c>
      <c r="U50" s="200">
        <v>829</v>
      </c>
      <c r="V50" s="268"/>
      <c r="W50" s="200"/>
    </row>
    <row r="51" spans="1:23" s="280" customFormat="1" ht="15" customHeight="1" x14ac:dyDescent="0.25">
      <c r="A51" s="277" t="s">
        <v>452</v>
      </c>
      <c r="B51" s="279">
        <v>2009</v>
      </c>
      <c r="C51" s="279" t="s">
        <v>208</v>
      </c>
      <c r="D51" s="279">
        <v>2010</v>
      </c>
      <c r="E51" s="279" t="s">
        <v>209</v>
      </c>
      <c r="F51" s="279">
        <v>2011</v>
      </c>
      <c r="G51" s="279" t="s">
        <v>210</v>
      </c>
      <c r="H51" s="279">
        <v>2012</v>
      </c>
      <c r="I51" s="279" t="s">
        <v>211</v>
      </c>
      <c r="J51" s="279">
        <v>2013</v>
      </c>
      <c r="K51" s="279" t="s">
        <v>212</v>
      </c>
      <c r="L51" s="279">
        <v>2014</v>
      </c>
      <c r="M51" s="279" t="s">
        <v>213</v>
      </c>
      <c r="N51" s="67">
        <v>2015</v>
      </c>
      <c r="O51" s="67" t="s">
        <v>343</v>
      </c>
      <c r="P51" s="67">
        <v>2016</v>
      </c>
      <c r="Q51" s="67" t="s">
        <v>405</v>
      </c>
      <c r="R51" s="67">
        <v>2017</v>
      </c>
      <c r="S51" s="67" t="s">
        <v>431</v>
      </c>
      <c r="T51" s="67">
        <v>2018</v>
      </c>
      <c r="U51" s="163" t="s">
        <v>577</v>
      </c>
    </row>
    <row r="52" spans="1:23" ht="15" customHeight="1" x14ac:dyDescent="0.2">
      <c r="A52" s="118" t="s">
        <v>149</v>
      </c>
      <c r="B52" s="200">
        <v>14700</v>
      </c>
      <c r="C52" s="200">
        <v>21212</v>
      </c>
      <c r="D52" s="200">
        <v>21809</v>
      </c>
      <c r="E52" s="200">
        <v>25569</v>
      </c>
      <c r="F52" s="200">
        <v>22831</v>
      </c>
      <c r="G52" s="200">
        <v>18438</v>
      </c>
      <c r="H52" s="200">
        <v>17526</v>
      </c>
      <c r="I52" s="200">
        <v>16401</v>
      </c>
      <c r="J52" s="200">
        <v>15004</v>
      </c>
      <c r="K52" s="200">
        <v>16523</v>
      </c>
      <c r="L52" s="200">
        <v>16867.13438735178</v>
      </c>
      <c r="M52" s="200">
        <v>13684</v>
      </c>
      <c r="N52" s="200">
        <v>11807</v>
      </c>
      <c r="O52" s="200">
        <v>8662</v>
      </c>
      <c r="P52" s="200">
        <v>9609</v>
      </c>
      <c r="Q52" s="200">
        <v>9760.8799999999992</v>
      </c>
      <c r="R52" s="200">
        <v>10411</v>
      </c>
      <c r="S52" s="200">
        <v>13871</v>
      </c>
      <c r="T52" s="200">
        <v>13122</v>
      </c>
      <c r="U52" s="200">
        <v>12315</v>
      </c>
    </row>
    <row r="53" spans="1:23" ht="15" customHeight="1" x14ac:dyDescent="0.2">
      <c r="A53" s="118" t="s">
        <v>150</v>
      </c>
      <c r="B53" s="200">
        <v>5164</v>
      </c>
      <c r="C53" s="200">
        <v>7130</v>
      </c>
      <c r="D53" s="200">
        <v>7539</v>
      </c>
      <c r="E53" s="200">
        <v>9398</v>
      </c>
      <c r="F53" s="200">
        <v>8811</v>
      </c>
      <c r="G53" s="200">
        <v>8097</v>
      </c>
      <c r="H53" s="200">
        <v>7950</v>
      </c>
      <c r="I53" s="200">
        <v>7743</v>
      </c>
      <c r="J53" s="200">
        <v>7322</v>
      </c>
      <c r="K53" s="200">
        <v>6916</v>
      </c>
      <c r="L53" s="200">
        <v>6862.001976284585</v>
      </c>
      <c r="M53" s="200">
        <v>5929</v>
      </c>
      <c r="N53" s="200">
        <v>5494</v>
      </c>
      <c r="O53" s="200">
        <v>4701</v>
      </c>
      <c r="P53" s="200">
        <v>4863</v>
      </c>
      <c r="Q53" s="200">
        <v>5748.64</v>
      </c>
      <c r="R53" s="200">
        <v>6166</v>
      </c>
      <c r="S53" s="200">
        <v>6917</v>
      </c>
      <c r="T53" s="200">
        <v>6523</v>
      </c>
      <c r="U53" s="200">
        <v>6165</v>
      </c>
    </row>
    <row r="54" spans="1:23" ht="15" customHeight="1" x14ac:dyDescent="0.2">
      <c r="A54" s="118" t="s">
        <v>151</v>
      </c>
      <c r="B54" s="200">
        <v>264</v>
      </c>
      <c r="C54" s="200">
        <v>467</v>
      </c>
      <c r="D54" s="200">
        <v>526</v>
      </c>
      <c r="E54" s="200">
        <v>775</v>
      </c>
      <c r="F54" s="200">
        <v>733</v>
      </c>
      <c r="G54" s="200">
        <v>656</v>
      </c>
      <c r="H54" s="200">
        <v>643</v>
      </c>
      <c r="I54" s="200">
        <v>726</v>
      </c>
      <c r="J54" s="200">
        <v>725</v>
      </c>
      <c r="K54" s="200">
        <v>779</v>
      </c>
      <c r="L54" s="200">
        <v>803.22111553784862</v>
      </c>
      <c r="M54" s="200">
        <v>772</v>
      </c>
      <c r="N54" s="200">
        <v>691</v>
      </c>
      <c r="O54" s="200">
        <v>546</v>
      </c>
      <c r="P54" s="200">
        <v>613</v>
      </c>
      <c r="Q54" s="200">
        <v>792.40800000000002</v>
      </c>
      <c r="R54" s="200">
        <v>869</v>
      </c>
      <c r="S54" s="200">
        <v>1007</v>
      </c>
      <c r="T54" s="200">
        <v>1029</v>
      </c>
      <c r="U54" s="200">
        <v>1410</v>
      </c>
    </row>
    <row r="55" spans="1:23" ht="15" customHeight="1" x14ac:dyDescent="0.2">
      <c r="A55" s="271" t="s">
        <v>152</v>
      </c>
      <c r="B55" s="270">
        <v>1205</v>
      </c>
      <c r="C55" s="270">
        <v>1596</v>
      </c>
      <c r="D55" s="270">
        <v>1610</v>
      </c>
      <c r="E55" s="270">
        <v>1788</v>
      </c>
      <c r="F55" s="270">
        <v>1721</v>
      </c>
      <c r="G55" s="270">
        <v>1555</v>
      </c>
      <c r="H55" s="270">
        <v>1551.6</v>
      </c>
      <c r="I55" s="270">
        <v>1541</v>
      </c>
      <c r="J55" s="270">
        <v>1487</v>
      </c>
      <c r="K55" s="270">
        <v>1437</v>
      </c>
      <c r="L55" s="270">
        <v>1385</v>
      </c>
      <c r="M55" s="270">
        <v>1160</v>
      </c>
      <c r="N55" s="270">
        <v>1053</v>
      </c>
      <c r="O55" s="270">
        <v>959</v>
      </c>
      <c r="P55" s="270">
        <v>989</v>
      </c>
      <c r="Q55" s="270">
        <v>960.04399999999998</v>
      </c>
      <c r="R55" s="270">
        <v>949</v>
      </c>
      <c r="S55" s="270">
        <v>941</v>
      </c>
      <c r="T55" s="270">
        <v>880</v>
      </c>
      <c r="U55" s="270">
        <v>832</v>
      </c>
    </row>
    <row r="56" spans="1:23" ht="15" customHeight="1" x14ac:dyDescent="0.2">
      <c r="A56" s="62" t="s">
        <v>55</v>
      </c>
      <c r="B56" s="83"/>
      <c r="C56" s="83"/>
      <c r="D56" s="83"/>
      <c r="E56" s="86"/>
      <c r="F56" s="83"/>
      <c r="G56" s="83"/>
      <c r="H56" s="83"/>
      <c r="I56" s="83"/>
      <c r="J56" s="83"/>
      <c r="K56" s="272"/>
      <c r="L56" s="272"/>
      <c r="M56" s="272"/>
      <c r="N56" s="272"/>
      <c r="O56" s="273"/>
    </row>
    <row r="57" spans="1:23" ht="14.25" customHeight="1" x14ac:dyDescent="0.2">
      <c r="A57" s="266"/>
      <c r="B57" s="83"/>
      <c r="C57" s="83"/>
      <c r="D57" s="83"/>
      <c r="E57" s="86"/>
      <c r="F57" s="83"/>
      <c r="G57" s="83"/>
      <c r="H57" s="83"/>
      <c r="I57" s="83"/>
      <c r="J57" s="83"/>
      <c r="K57" s="272"/>
      <c r="L57" s="272"/>
      <c r="M57" s="272"/>
      <c r="N57" s="272"/>
      <c r="O57" s="262"/>
    </row>
    <row r="58" spans="1:23" ht="15" customHeight="1" x14ac:dyDescent="0.2">
      <c r="A58" s="258" t="s">
        <v>56</v>
      </c>
      <c r="B58" s="274"/>
      <c r="C58" s="274"/>
      <c r="D58" s="274"/>
      <c r="E58" s="274"/>
      <c r="F58" s="274"/>
      <c r="G58" s="274"/>
      <c r="H58" s="274"/>
      <c r="I58" s="274"/>
      <c r="J58" s="274"/>
      <c r="K58" s="274"/>
      <c r="L58" s="274"/>
      <c r="M58" s="274"/>
      <c r="N58" s="274"/>
      <c r="O58" s="273"/>
    </row>
    <row r="59" spans="1:23" s="260" customFormat="1" ht="38.25" x14ac:dyDescent="0.2">
      <c r="A59" s="259" t="s">
        <v>453</v>
      </c>
      <c r="B59" s="275"/>
      <c r="C59" s="275"/>
      <c r="D59" s="275"/>
      <c r="E59" s="275"/>
      <c r="F59" s="275"/>
      <c r="G59" s="275"/>
      <c r="H59" s="275"/>
      <c r="I59" s="275"/>
      <c r="J59" s="275"/>
      <c r="K59" s="275"/>
      <c r="L59" s="275"/>
      <c r="M59" s="275"/>
      <c r="N59" s="275"/>
    </row>
    <row r="60" spans="1:23" s="260" customFormat="1" x14ac:dyDescent="0.2">
      <c r="A60" s="259" t="s">
        <v>456</v>
      </c>
      <c r="B60" s="275"/>
      <c r="C60" s="275"/>
      <c r="D60" s="275"/>
      <c r="E60" s="275"/>
      <c r="F60" s="275"/>
      <c r="G60" s="275"/>
      <c r="H60" s="275"/>
      <c r="I60" s="275"/>
      <c r="J60" s="275"/>
      <c r="K60" s="275"/>
      <c r="L60" s="275"/>
      <c r="M60" s="275"/>
      <c r="N60" s="275"/>
    </row>
    <row r="61" spans="1:23" s="260" customFormat="1" ht="25.5" x14ac:dyDescent="0.2">
      <c r="A61" s="259" t="s">
        <v>457</v>
      </c>
      <c r="B61" s="275"/>
      <c r="C61" s="275"/>
      <c r="D61" s="275"/>
      <c r="E61" s="275"/>
      <c r="F61" s="275"/>
      <c r="G61" s="275"/>
      <c r="H61" s="275"/>
      <c r="I61" s="275"/>
      <c r="J61" s="275"/>
      <c r="K61" s="275"/>
      <c r="L61" s="275"/>
      <c r="M61" s="275"/>
      <c r="N61" s="275"/>
    </row>
    <row r="62" spans="1:23" s="260" customFormat="1" ht="25.5" x14ac:dyDescent="0.2">
      <c r="A62" s="259" t="s">
        <v>582</v>
      </c>
      <c r="B62" s="275"/>
      <c r="C62" s="275"/>
      <c r="D62" s="275"/>
      <c r="E62" s="275"/>
      <c r="F62" s="275"/>
      <c r="G62" s="275"/>
      <c r="H62" s="275"/>
      <c r="I62" s="275"/>
      <c r="J62" s="275"/>
      <c r="K62" s="275"/>
      <c r="L62" s="275"/>
      <c r="M62" s="275"/>
      <c r="N62" s="275"/>
      <c r="O62" s="275"/>
    </row>
    <row r="63" spans="1:23" s="260" customFormat="1" x14ac:dyDescent="0.2">
      <c r="A63" s="397" t="s">
        <v>449</v>
      </c>
      <c r="B63" s="275"/>
      <c r="C63" s="275"/>
      <c r="D63" s="275"/>
      <c r="E63" s="275"/>
      <c r="F63" s="275"/>
      <c r="G63" s="275"/>
      <c r="H63" s="275"/>
      <c r="I63" s="275"/>
      <c r="J63" s="275"/>
      <c r="K63" s="275"/>
      <c r="L63" s="275"/>
      <c r="M63" s="275"/>
      <c r="N63" s="275"/>
      <c r="O63" s="275"/>
    </row>
    <row r="64" spans="1:23" s="260" customFormat="1" ht="25.5" x14ac:dyDescent="0.2">
      <c r="A64" s="259" t="s">
        <v>450</v>
      </c>
      <c r="B64" s="275"/>
      <c r="C64" s="275"/>
      <c r="D64" s="275"/>
      <c r="E64" s="275"/>
      <c r="F64" s="275"/>
      <c r="G64" s="275"/>
      <c r="H64" s="275"/>
      <c r="I64" s="275"/>
      <c r="J64" s="275"/>
      <c r="K64" s="275"/>
      <c r="L64" s="275"/>
      <c r="M64" s="275"/>
      <c r="N64" s="275"/>
    </row>
    <row r="65" spans="1:14" s="260" customFormat="1" ht="27" x14ac:dyDescent="0.2">
      <c r="A65" s="396" t="s">
        <v>581</v>
      </c>
      <c r="B65" s="275"/>
      <c r="C65" s="275"/>
      <c r="D65" s="275"/>
      <c r="E65" s="275"/>
      <c r="F65" s="275"/>
      <c r="G65" s="275"/>
      <c r="H65" s="275"/>
      <c r="I65" s="275"/>
      <c r="J65" s="275"/>
      <c r="K65" s="275"/>
      <c r="L65" s="275"/>
      <c r="M65" s="275"/>
      <c r="N65" s="275"/>
    </row>
    <row r="66" spans="1:14" s="260" customFormat="1" x14ac:dyDescent="0.2">
      <c r="A66" s="211"/>
      <c r="B66" s="275"/>
      <c r="C66" s="275"/>
      <c r="D66" s="275"/>
      <c r="E66" s="275"/>
      <c r="F66" s="275"/>
      <c r="G66" s="275"/>
      <c r="H66" s="275"/>
      <c r="I66" s="275"/>
      <c r="J66" s="275"/>
      <c r="K66" s="275"/>
      <c r="L66" s="275"/>
      <c r="M66" s="275"/>
      <c r="N66" s="275"/>
    </row>
    <row r="74" spans="1:14" ht="15" x14ac:dyDescent="0.25">
      <c r="A74" s="344"/>
    </row>
  </sheetData>
  <customSheetViews>
    <customSheetView guid="{0879B2E0-1447-4BF4-B278-DFA3BD4BF3E7}" scale="85" showPageBreaks="1" fitToPage="1" printArea="1" view="pageBreakPreview" topLeftCell="A19">
      <selection activeCell="R36" sqref="R36"/>
      <pageMargins left="0.7" right="0.7" top="0.75" bottom="0.75" header="0.3" footer="0.3"/>
      <pageSetup paperSize="9" scale="47" orientation="landscape" r:id="rId1"/>
    </customSheetView>
    <customSheetView guid="{B24A12A4-9623-4099-956E-0B4C7C8D3F73}" scale="70" showPageBreaks="1" fitToPage="1" printArea="1" view="pageBreakPreview" topLeftCell="A6">
      <selection activeCell="N41" sqref="N41"/>
      <pageMargins left="0.7" right="0.7" top="0.75" bottom="0.75" header="0.3" footer="0.3"/>
      <pageSetup paperSize="9" scale="54" orientation="landscape" r:id="rId2"/>
    </customSheetView>
    <customSheetView guid="{93BA635E-1664-4099-8295-6B100E16362A}" scale="70" showPageBreaks="1" fitToPage="1" printArea="1" view="pageBreakPreview" topLeftCell="A6">
      <selection activeCell="N41" sqref="N41"/>
      <pageMargins left="0.7" right="0.7" top="0.75" bottom="0.75" header="0.3" footer="0.3"/>
      <pageSetup paperSize="9" scale="54" orientation="landscape" r:id="rId3"/>
    </customSheetView>
  </customSheetViews>
  <hyperlinks>
    <hyperlink ref="V2" location="MENU!A1" display="MENU"/>
  </hyperlinks>
  <pageMargins left="0.7" right="0.7" top="0.75" bottom="0.75" header="0.3" footer="0.3"/>
  <pageSetup paperSize="9" scale="46" orientation="landscape" r:id="rId4"/>
  <customProperties>
    <customPr name="_pios_id" r:id="rId5"/>
    <customPr name="CofWorksheetType" r:id="rId6"/>
    <customPr name="EpmWorksheetKeyString_GUID" r:id="rId7"/>
  </customProperties>
  <drawing r:id="rId8"/>
  <legacyDrawing r:id="rId9"/>
  <legacyDrawingHF r:id="rId10"/>
  <controls>
    <mc:AlternateContent xmlns:mc="http://schemas.openxmlformats.org/markup-compatibility/2006">
      <mc:Choice Requires="x14">
        <control shapeId="309249" r:id="rId11" name="FPMExcelClientSheetOptionstb1">
          <controlPr defaultSize="0" autoLine="0" r:id="rId12">
            <anchor moveWithCells="1" sizeWithCells="1">
              <from>
                <xdr:col>0</xdr:col>
                <xdr:colOff>0</xdr:colOff>
                <xdr:row>0</xdr:row>
                <xdr:rowOff>0</xdr:rowOff>
              </from>
              <to>
                <xdr:col>0</xdr:col>
                <xdr:colOff>0</xdr:colOff>
                <xdr:row>0</xdr:row>
                <xdr:rowOff>0</xdr:rowOff>
              </to>
            </anchor>
          </controlPr>
        </control>
      </mc:Choice>
      <mc:Fallback>
        <control shapeId="309249" r:id="rId11"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4981BF"/>
    <pageSetUpPr fitToPage="1"/>
  </sheetPr>
  <dimension ref="A1:AK77"/>
  <sheetViews>
    <sheetView view="pageBreakPreview" zoomScale="55" zoomScaleNormal="85" zoomScaleSheetLayoutView="55" zoomScalePageLayoutView="85" workbookViewId="0">
      <pane ySplit="1" topLeftCell="A2" activePane="bottomLeft" state="frozenSplit"/>
      <selection activeCell="B30" sqref="B30"/>
      <selection pane="bottomLeft" activeCell="U62" sqref="U62"/>
    </sheetView>
  </sheetViews>
  <sheetFormatPr defaultColWidth="8.85546875" defaultRowHeight="12.75" x14ac:dyDescent="0.2"/>
  <cols>
    <col min="1" max="1" width="69.85546875" style="305" customWidth="1"/>
    <col min="2" max="15" width="8.7109375" style="306" customWidth="1"/>
    <col min="16" max="16" width="9.7109375" style="284" customWidth="1"/>
    <col min="17" max="17" width="9.42578125" style="284" customWidth="1"/>
    <col min="18" max="18" width="8.7109375" style="284" customWidth="1"/>
    <col min="19" max="21" width="10.7109375" style="284" customWidth="1"/>
    <col min="22" max="22" width="7.7109375" style="284" bestFit="1" customWidth="1"/>
    <col min="23" max="23" width="9.42578125" style="284" bestFit="1" customWidth="1"/>
    <col min="24" max="24" width="7.7109375" style="284" bestFit="1" customWidth="1"/>
    <col min="25" max="25" width="9.42578125" style="284" bestFit="1" customWidth="1"/>
    <col min="26" max="26" width="8" style="284" bestFit="1" customWidth="1"/>
    <col min="27" max="28" width="9.42578125" style="284" bestFit="1" customWidth="1"/>
    <col min="29" max="29" width="10.42578125" style="284" bestFit="1" customWidth="1"/>
    <col min="30" max="30" width="9.42578125" style="284" bestFit="1" customWidth="1"/>
    <col min="31" max="31" width="9" style="284" customWidth="1"/>
    <col min="32" max="33" width="9.42578125" style="284" bestFit="1" customWidth="1"/>
    <col min="34" max="34" width="8" style="284" bestFit="1" customWidth="1"/>
    <col min="35" max="35" width="9.42578125" style="284" bestFit="1" customWidth="1"/>
    <col min="36" max="16384" width="8.85546875" style="284"/>
  </cols>
  <sheetData>
    <row r="1" spans="1:35" s="303" customFormat="1" ht="30" customHeight="1" thickBot="1" x14ac:dyDescent="0.3">
      <c r="A1" s="405" t="s">
        <v>155</v>
      </c>
      <c r="B1" s="421">
        <v>2009</v>
      </c>
      <c r="C1" s="421" t="s">
        <v>208</v>
      </c>
      <c r="D1" s="421">
        <v>2010</v>
      </c>
      <c r="E1" s="421" t="s">
        <v>209</v>
      </c>
      <c r="F1" s="421">
        <v>2011</v>
      </c>
      <c r="G1" s="421" t="s">
        <v>210</v>
      </c>
      <c r="H1" s="421">
        <v>2012</v>
      </c>
      <c r="I1" s="421" t="s">
        <v>211</v>
      </c>
      <c r="J1" s="421">
        <v>2013</v>
      </c>
      <c r="K1" s="421" t="s">
        <v>212</v>
      </c>
      <c r="L1" s="421">
        <v>2014</v>
      </c>
      <c r="M1" s="421" t="s">
        <v>213</v>
      </c>
      <c r="N1" s="421">
        <v>2015</v>
      </c>
      <c r="O1" s="422" t="s">
        <v>343</v>
      </c>
      <c r="P1" s="422">
        <v>2016</v>
      </c>
      <c r="Q1" s="422" t="s">
        <v>405</v>
      </c>
      <c r="R1" s="422">
        <v>2017</v>
      </c>
      <c r="S1" s="422" t="s">
        <v>431</v>
      </c>
      <c r="T1" s="422">
        <v>2018</v>
      </c>
      <c r="U1" s="422" t="s">
        <v>577</v>
      </c>
      <c r="V1" s="419" t="s">
        <v>215</v>
      </c>
    </row>
    <row r="2" spans="1:35" ht="15" customHeight="1" x14ac:dyDescent="0.2">
      <c r="A2" s="624" t="s">
        <v>438</v>
      </c>
      <c r="B2" s="624"/>
      <c r="C2" s="624"/>
      <c r="D2" s="624"/>
      <c r="E2" s="624"/>
      <c r="F2" s="624"/>
      <c r="G2" s="624"/>
      <c r="H2" s="624"/>
      <c r="I2" s="624"/>
      <c r="J2" s="624"/>
      <c r="K2" s="624"/>
      <c r="L2" s="624"/>
      <c r="M2" s="624"/>
      <c r="N2" s="624"/>
      <c r="O2" s="624"/>
      <c r="P2" s="624"/>
      <c r="Q2" s="624"/>
      <c r="R2" s="624"/>
      <c r="S2" s="624"/>
      <c r="T2" s="624"/>
      <c r="U2" s="624"/>
    </row>
    <row r="3" spans="1:35" x14ac:dyDescent="0.2">
      <c r="A3" s="265" t="s">
        <v>156</v>
      </c>
      <c r="B3" s="177">
        <v>232813</v>
      </c>
      <c r="C3" s="177">
        <v>114131</v>
      </c>
      <c r="D3" s="177">
        <v>235518</v>
      </c>
      <c r="E3" s="177">
        <v>110323</v>
      </c>
      <c r="F3" s="177">
        <v>237227</v>
      </c>
      <c r="G3" s="177">
        <v>115065</v>
      </c>
      <c r="H3" s="177">
        <v>233632</v>
      </c>
      <c r="I3" s="177">
        <v>111982</v>
      </c>
      <c r="J3" s="177">
        <v>231798</v>
      </c>
      <c r="K3" s="286">
        <v>110419</v>
      </c>
      <c r="L3" s="286">
        <v>228438</v>
      </c>
      <c r="M3" s="286">
        <v>108372</v>
      </c>
      <c r="N3" s="286">
        <v>222016</v>
      </c>
      <c r="O3" s="286">
        <v>99220</v>
      </c>
      <c r="P3" s="286">
        <v>182095</v>
      </c>
      <c r="Q3" s="286">
        <v>75853</v>
      </c>
      <c r="R3" s="286">
        <v>157396</v>
      </c>
      <c r="S3" s="286">
        <v>75541</v>
      </c>
      <c r="T3" s="286">
        <v>158005</v>
      </c>
      <c r="U3" s="286">
        <v>80039</v>
      </c>
      <c r="V3" s="287"/>
      <c r="W3" s="287"/>
      <c r="X3" s="287"/>
      <c r="Y3" s="287"/>
      <c r="Z3" s="287"/>
      <c r="AA3" s="287"/>
      <c r="AB3" s="287"/>
      <c r="AC3" s="287"/>
      <c r="AD3" s="287"/>
      <c r="AE3" s="287"/>
      <c r="AF3" s="287"/>
      <c r="AG3" s="287"/>
      <c r="AH3" s="287"/>
      <c r="AI3" s="287"/>
    </row>
    <row r="4" spans="1:35" ht="15" customHeight="1" x14ac:dyDescent="0.2">
      <c r="A4" s="269" t="s">
        <v>425</v>
      </c>
      <c r="B4" s="86">
        <v>124250</v>
      </c>
      <c r="C4" s="86" t="s">
        <v>270</v>
      </c>
      <c r="D4" s="86">
        <v>124200</v>
      </c>
      <c r="E4" s="86" t="s">
        <v>270</v>
      </c>
      <c r="F4" s="86">
        <v>124000</v>
      </c>
      <c r="G4" s="86" t="s">
        <v>270</v>
      </c>
      <c r="H4" s="86">
        <v>124000</v>
      </c>
      <c r="I4" s="86">
        <v>61103</v>
      </c>
      <c r="J4" s="86">
        <v>122700</v>
      </c>
      <c r="K4" s="289">
        <v>60698</v>
      </c>
      <c r="L4" s="289">
        <v>122390</v>
      </c>
      <c r="M4" s="289">
        <v>47836</v>
      </c>
      <c r="N4" s="289">
        <v>96916</v>
      </c>
      <c r="O4" s="289">
        <v>44350</v>
      </c>
      <c r="P4" s="289">
        <v>50860</v>
      </c>
      <c r="Q4" s="289">
        <v>0</v>
      </c>
      <c r="R4" s="289">
        <v>0</v>
      </c>
      <c r="S4" s="289">
        <v>0</v>
      </c>
      <c r="T4" s="289">
        <v>0</v>
      </c>
      <c r="U4" s="289">
        <v>0</v>
      </c>
    </row>
    <row r="5" spans="1:35" ht="15" customHeight="1" x14ac:dyDescent="0.2">
      <c r="A5" s="269" t="s">
        <v>426</v>
      </c>
      <c r="B5" s="86">
        <v>108563</v>
      </c>
      <c r="C5" s="86" t="s">
        <v>270</v>
      </c>
      <c r="D5" s="86">
        <v>111318</v>
      </c>
      <c r="E5" s="86" t="s">
        <v>270</v>
      </c>
      <c r="F5" s="86">
        <v>113227</v>
      </c>
      <c r="G5" s="86" t="s">
        <v>270</v>
      </c>
      <c r="H5" s="86">
        <v>109632</v>
      </c>
      <c r="I5" s="86">
        <v>50879</v>
      </c>
      <c r="J5" s="86">
        <v>109098</v>
      </c>
      <c r="K5" s="289">
        <v>49721</v>
      </c>
      <c r="L5" s="289">
        <v>106048</v>
      </c>
      <c r="M5" s="289">
        <v>60536</v>
      </c>
      <c r="N5" s="289">
        <v>125100</v>
      </c>
      <c r="O5" s="289">
        <v>54870</v>
      </c>
      <c r="P5" s="289">
        <v>131235</v>
      </c>
      <c r="Q5" s="289">
        <v>75853</v>
      </c>
      <c r="R5" s="289">
        <v>157396</v>
      </c>
      <c r="S5" s="289">
        <v>75541</v>
      </c>
      <c r="T5" s="289">
        <v>158005</v>
      </c>
      <c r="U5" s="289">
        <v>80039</v>
      </c>
    </row>
    <row r="6" spans="1:35" ht="15" customHeight="1" x14ac:dyDescent="0.2">
      <c r="A6" s="388" t="s">
        <v>471</v>
      </c>
      <c r="B6" s="394">
        <v>108563</v>
      </c>
      <c r="C6" s="394" t="s">
        <v>270</v>
      </c>
      <c r="D6" s="394">
        <v>111318</v>
      </c>
      <c r="E6" s="394" t="s">
        <v>270</v>
      </c>
      <c r="F6" s="394">
        <v>110906</v>
      </c>
      <c r="G6" s="394" t="s">
        <v>270</v>
      </c>
      <c r="H6" s="394">
        <v>99153</v>
      </c>
      <c r="I6" s="394" t="s">
        <v>270</v>
      </c>
      <c r="J6" s="394">
        <v>96573</v>
      </c>
      <c r="K6" s="289">
        <v>46467</v>
      </c>
      <c r="L6" s="289">
        <v>100834</v>
      </c>
      <c r="M6" s="289">
        <v>58858</v>
      </c>
      <c r="N6" s="289">
        <v>123335</v>
      </c>
      <c r="O6" s="289">
        <v>53159</v>
      </c>
      <c r="P6" s="289">
        <v>126937</v>
      </c>
      <c r="Q6" s="289">
        <f>73932+374</f>
        <v>74306</v>
      </c>
      <c r="R6" s="289">
        <v>155110</v>
      </c>
      <c r="S6" s="289">
        <v>75055</v>
      </c>
      <c r="T6" s="289">
        <v>157519</v>
      </c>
      <c r="U6" s="289">
        <v>79525</v>
      </c>
    </row>
    <row r="7" spans="1:35" ht="15" customHeight="1" x14ac:dyDescent="0.2">
      <c r="A7" s="447" t="s">
        <v>469</v>
      </c>
      <c r="B7" s="394"/>
      <c r="C7" s="394"/>
      <c r="D7" s="394"/>
      <c r="E7" s="394"/>
      <c r="F7" s="394"/>
      <c r="G7" s="394"/>
      <c r="H7" s="394"/>
      <c r="I7" s="394"/>
      <c r="J7" s="394"/>
      <c r="K7" s="289"/>
      <c r="L7" s="289"/>
      <c r="M7" s="289"/>
      <c r="N7" s="289"/>
      <c r="O7" s="289"/>
      <c r="P7" s="289"/>
      <c r="Q7" s="289"/>
      <c r="R7" s="289">
        <v>152359</v>
      </c>
      <c r="S7" s="289"/>
      <c r="T7" s="289">
        <v>148839</v>
      </c>
      <c r="U7" s="289">
        <v>79525</v>
      </c>
    </row>
    <row r="8" spans="1:35" ht="15" customHeight="1" x14ac:dyDescent="0.2">
      <c r="A8" s="447" t="s">
        <v>470</v>
      </c>
      <c r="B8" s="394"/>
      <c r="C8" s="394"/>
      <c r="D8" s="394"/>
      <c r="E8" s="394"/>
      <c r="F8" s="394"/>
      <c r="G8" s="394"/>
      <c r="H8" s="394"/>
      <c r="I8" s="394"/>
      <c r="J8" s="394"/>
      <c r="K8" s="289"/>
      <c r="L8" s="289"/>
      <c r="M8" s="289"/>
      <c r="N8" s="289"/>
      <c r="O8" s="289"/>
      <c r="P8" s="289"/>
      <c r="Q8" s="289"/>
      <c r="R8" s="289">
        <v>2751</v>
      </c>
      <c r="S8" s="289"/>
      <c r="T8" s="289">
        <v>8680</v>
      </c>
      <c r="U8" s="289">
        <v>514</v>
      </c>
    </row>
    <row r="9" spans="1:35" ht="15" customHeight="1" x14ac:dyDescent="0.2">
      <c r="A9" s="388" t="s">
        <v>158</v>
      </c>
      <c r="B9" s="394">
        <v>0</v>
      </c>
      <c r="C9" s="394" t="s">
        <v>270</v>
      </c>
      <c r="D9" s="394">
        <v>0</v>
      </c>
      <c r="E9" s="394" t="s">
        <v>270</v>
      </c>
      <c r="F9" s="394">
        <v>2321</v>
      </c>
      <c r="G9" s="394" t="s">
        <v>270</v>
      </c>
      <c r="H9" s="394">
        <v>10479</v>
      </c>
      <c r="I9" s="394" t="s">
        <v>270</v>
      </c>
      <c r="J9" s="394">
        <v>12525</v>
      </c>
      <c r="K9" s="289">
        <v>3254</v>
      </c>
      <c r="L9" s="289">
        <v>5214</v>
      </c>
      <c r="M9" s="289">
        <v>1678</v>
      </c>
      <c r="N9" s="289">
        <v>1765</v>
      </c>
      <c r="O9" s="289">
        <v>1711</v>
      </c>
      <c r="P9" s="289">
        <v>4298</v>
      </c>
      <c r="Q9" s="289">
        <v>1547</v>
      </c>
      <c r="R9" s="289">
        <v>2286</v>
      </c>
      <c r="S9" s="289">
        <v>486</v>
      </c>
      <c r="T9" s="289">
        <v>486</v>
      </c>
    </row>
    <row r="10" spans="1:35" x14ac:dyDescent="0.2">
      <c r="A10" s="387" t="s">
        <v>159</v>
      </c>
      <c r="B10" s="177">
        <v>382443</v>
      </c>
      <c r="C10" s="177">
        <v>185260</v>
      </c>
      <c r="D10" s="177">
        <v>365698</v>
      </c>
      <c r="E10" s="177">
        <v>176455</v>
      </c>
      <c r="F10" s="177">
        <v>363460</v>
      </c>
      <c r="G10" s="177">
        <v>172283</v>
      </c>
      <c r="H10" s="177">
        <v>352466</v>
      </c>
      <c r="I10" s="177">
        <v>178483</v>
      </c>
      <c r="J10" s="177">
        <v>359102</v>
      </c>
      <c r="K10" s="286">
        <v>179334</v>
      </c>
      <c r="L10" s="286">
        <v>354943</v>
      </c>
      <c r="M10" s="286">
        <v>175351</v>
      </c>
      <c r="N10" s="286">
        <v>355707</v>
      </c>
      <c r="O10" s="286">
        <v>174024</v>
      </c>
      <c r="P10" s="286">
        <v>350619</v>
      </c>
      <c r="Q10" s="286">
        <v>189703</v>
      </c>
      <c r="R10" s="286">
        <v>387640</v>
      </c>
      <c r="S10" s="286">
        <v>215481</v>
      </c>
      <c r="T10" s="286">
        <v>436201</v>
      </c>
      <c r="U10" s="286">
        <v>223160</v>
      </c>
    </row>
    <row r="11" spans="1:35" ht="15" customHeight="1" x14ac:dyDescent="0.2">
      <c r="A11" s="400" t="s">
        <v>425</v>
      </c>
      <c r="B11" s="394">
        <v>323705</v>
      </c>
      <c r="C11" s="394" t="s">
        <v>270</v>
      </c>
      <c r="D11" s="394">
        <v>309320</v>
      </c>
      <c r="E11" s="394" t="s">
        <v>270</v>
      </c>
      <c r="F11" s="394">
        <v>303940</v>
      </c>
      <c r="G11" s="394" t="s">
        <v>270</v>
      </c>
      <c r="H11" s="394">
        <v>295610</v>
      </c>
      <c r="I11" s="394">
        <v>147541</v>
      </c>
      <c r="J11" s="394">
        <v>296760</v>
      </c>
      <c r="K11" s="289">
        <v>150929</v>
      </c>
      <c r="L11" s="289">
        <v>297552</v>
      </c>
      <c r="M11" s="289">
        <v>145494</v>
      </c>
      <c r="N11" s="289">
        <v>292632</v>
      </c>
      <c r="O11" s="289">
        <v>146686</v>
      </c>
      <c r="P11" s="289">
        <v>280347</v>
      </c>
      <c r="Q11" s="289">
        <v>150504</v>
      </c>
      <c r="R11" s="289">
        <v>306859</v>
      </c>
      <c r="S11" s="289">
        <v>175930</v>
      </c>
      <c r="T11" s="289">
        <v>353131</v>
      </c>
      <c r="U11" s="289">
        <v>179722</v>
      </c>
    </row>
    <row r="12" spans="1:35" ht="15" customHeight="1" x14ac:dyDescent="0.2">
      <c r="A12" s="400" t="s">
        <v>426</v>
      </c>
      <c r="B12" s="394">
        <v>58738</v>
      </c>
      <c r="C12" s="394" t="s">
        <v>270</v>
      </c>
      <c r="D12" s="394">
        <v>56378</v>
      </c>
      <c r="E12" s="394" t="s">
        <v>270</v>
      </c>
      <c r="F12" s="394">
        <v>59520</v>
      </c>
      <c r="G12" s="394" t="s">
        <v>270</v>
      </c>
      <c r="H12" s="394">
        <v>56856</v>
      </c>
      <c r="I12" s="394">
        <v>30942</v>
      </c>
      <c r="J12" s="394">
        <v>62342</v>
      </c>
      <c r="K12" s="289">
        <v>28405</v>
      </c>
      <c r="L12" s="289">
        <v>57391</v>
      </c>
      <c r="M12" s="289">
        <v>29857</v>
      </c>
      <c r="N12" s="289">
        <v>63075</v>
      </c>
      <c r="O12" s="289">
        <v>27338</v>
      </c>
      <c r="P12" s="289">
        <v>70272</v>
      </c>
      <c r="Q12" s="289">
        <v>39199</v>
      </c>
      <c r="R12" s="289">
        <v>80781</v>
      </c>
      <c r="S12" s="289">
        <v>39551</v>
      </c>
      <c r="T12" s="289">
        <v>83070</v>
      </c>
      <c r="U12" s="289">
        <v>43438</v>
      </c>
    </row>
    <row r="13" spans="1:35" ht="15" customHeight="1" x14ac:dyDescent="0.2">
      <c r="A13" s="388" t="s">
        <v>471</v>
      </c>
      <c r="B13" s="394">
        <v>58738</v>
      </c>
      <c r="C13" s="394" t="s">
        <v>270</v>
      </c>
      <c r="D13" s="394">
        <v>56378</v>
      </c>
      <c r="E13" s="394" t="s">
        <v>270</v>
      </c>
      <c r="F13" s="394">
        <v>58914</v>
      </c>
      <c r="G13" s="394" t="s">
        <v>270</v>
      </c>
      <c r="H13" s="394">
        <v>48616</v>
      </c>
      <c r="I13" s="394" t="s">
        <v>270</v>
      </c>
      <c r="J13" s="394">
        <v>48977</v>
      </c>
      <c r="K13" s="289">
        <v>22624</v>
      </c>
      <c r="L13" s="289">
        <v>48345</v>
      </c>
      <c r="M13" s="289">
        <v>28976</v>
      </c>
      <c r="N13" s="289">
        <v>60134</v>
      </c>
      <c r="O13" s="289">
        <v>24887</v>
      </c>
      <c r="P13" s="289">
        <v>63542</v>
      </c>
      <c r="Q13" s="289">
        <v>37083</v>
      </c>
      <c r="R13" s="289">
        <v>78587</v>
      </c>
      <c r="S13" s="289">
        <v>39468</v>
      </c>
      <c r="T13" s="289">
        <v>82987</v>
      </c>
      <c r="U13" s="289">
        <v>35828</v>
      </c>
    </row>
    <row r="14" spans="1:35" ht="15" customHeight="1" x14ac:dyDescent="0.2">
      <c r="A14" s="447" t="s">
        <v>472</v>
      </c>
      <c r="B14" s="394"/>
      <c r="C14" s="394"/>
      <c r="D14" s="394"/>
      <c r="E14" s="394"/>
      <c r="F14" s="394"/>
      <c r="G14" s="394"/>
      <c r="H14" s="394"/>
      <c r="I14" s="394"/>
      <c r="J14" s="394"/>
      <c r="K14" s="289"/>
      <c r="L14" s="289"/>
      <c r="M14" s="289"/>
      <c r="N14" s="289"/>
      <c r="O14" s="289"/>
      <c r="P14" s="289"/>
      <c r="Q14" s="289"/>
      <c r="R14" s="289">
        <v>71751</v>
      </c>
      <c r="S14" s="289"/>
      <c r="T14" s="289">
        <v>72826</v>
      </c>
      <c r="U14" s="289">
        <v>35828</v>
      </c>
    </row>
    <row r="15" spans="1:35" ht="15" customHeight="1" x14ac:dyDescent="0.2">
      <c r="A15" s="447" t="s">
        <v>473</v>
      </c>
      <c r="B15" s="394"/>
      <c r="C15" s="394"/>
      <c r="D15" s="394"/>
      <c r="E15" s="394"/>
      <c r="F15" s="394"/>
      <c r="G15" s="394"/>
      <c r="H15" s="394"/>
      <c r="I15" s="394"/>
      <c r="J15" s="394"/>
      <c r="K15" s="289"/>
      <c r="L15" s="289"/>
      <c r="M15" s="289"/>
      <c r="N15" s="289"/>
      <c r="O15" s="289"/>
      <c r="P15" s="289"/>
      <c r="Q15" s="289"/>
      <c r="R15" s="289">
        <v>6836</v>
      </c>
      <c r="S15" s="289"/>
      <c r="T15" s="289">
        <v>10161</v>
      </c>
      <c r="U15" s="289">
        <v>7610</v>
      </c>
    </row>
    <row r="16" spans="1:35" ht="15" customHeight="1" x14ac:dyDescent="0.2">
      <c r="A16" s="388" t="s">
        <v>158</v>
      </c>
      <c r="B16" s="394">
        <v>0</v>
      </c>
      <c r="C16" s="394" t="s">
        <v>270</v>
      </c>
      <c r="D16" s="394">
        <v>0</v>
      </c>
      <c r="E16" s="394" t="s">
        <v>270</v>
      </c>
      <c r="F16" s="394">
        <v>606</v>
      </c>
      <c r="G16" s="394" t="s">
        <v>270</v>
      </c>
      <c r="H16" s="394">
        <v>8240</v>
      </c>
      <c r="I16" s="394" t="s">
        <v>270</v>
      </c>
      <c r="J16" s="394">
        <v>13365</v>
      </c>
      <c r="K16" s="289">
        <v>5781</v>
      </c>
      <c r="L16" s="289">
        <v>9046</v>
      </c>
      <c r="M16" s="289">
        <v>881</v>
      </c>
      <c r="N16" s="289">
        <v>2941</v>
      </c>
      <c r="O16" s="289">
        <v>2451</v>
      </c>
      <c r="P16" s="289">
        <v>6730</v>
      </c>
      <c r="Q16" s="289">
        <v>2116</v>
      </c>
      <c r="R16" s="289">
        <v>2194</v>
      </c>
      <c r="S16" s="289">
        <v>83</v>
      </c>
      <c r="T16" s="289">
        <v>83</v>
      </c>
    </row>
    <row r="17" spans="1:21" x14ac:dyDescent="0.2">
      <c r="A17" s="387" t="s">
        <v>160</v>
      </c>
      <c r="B17" s="177">
        <v>2676</v>
      </c>
      <c r="C17" s="177">
        <v>1407</v>
      </c>
      <c r="D17" s="177">
        <v>2723</v>
      </c>
      <c r="E17" s="177">
        <v>1363</v>
      </c>
      <c r="F17" s="177">
        <v>2704</v>
      </c>
      <c r="G17" s="177">
        <v>1318</v>
      </c>
      <c r="H17" s="177">
        <v>2628</v>
      </c>
      <c r="I17" s="177">
        <v>1296</v>
      </c>
      <c r="J17" s="177">
        <v>2580</v>
      </c>
      <c r="K17" s="286">
        <v>1306</v>
      </c>
      <c r="L17" s="286">
        <v>2660</v>
      </c>
      <c r="M17" s="286">
        <v>1313</v>
      </c>
      <c r="N17" s="286">
        <v>2606</v>
      </c>
      <c r="O17" s="286">
        <v>1311</v>
      </c>
      <c r="P17" s="286">
        <v>2554</v>
      </c>
      <c r="Q17" s="286">
        <v>1307</v>
      </c>
      <c r="R17" s="286">
        <v>2738</v>
      </c>
      <c r="S17" s="286">
        <v>1367</v>
      </c>
      <c r="T17" s="286">
        <v>2671</v>
      </c>
      <c r="U17" s="286">
        <v>1497.1</v>
      </c>
    </row>
    <row r="18" spans="1:21" x14ac:dyDescent="0.2">
      <c r="A18" s="400" t="s">
        <v>425</v>
      </c>
      <c r="B18" s="394">
        <v>2010</v>
      </c>
      <c r="C18" s="394" t="s">
        <v>270</v>
      </c>
      <c r="D18" s="394">
        <v>2053</v>
      </c>
      <c r="E18" s="394" t="s">
        <v>270</v>
      </c>
      <c r="F18" s="394">
        <v>2038</v>
      </c>
      <c r="G18" s="394" t="s">
        <v>270</v>
      </c>
      <c r="H18" s="394">
        <v>1989</v>
      </c>
      <c r="I18" s="394">
        <v>989</v>
      </c>
      <c r="J18" s="394">
        <v>2006</v>
      </c>
      <c r="K18" s="289">
        <v>1008</v>
      </c>
      <c r="L18" s="289">
        <v>2065</v>
      </c>
      <c r="M18" s="289">
        <v>983</v>
      </c>
      <c r="N18" s="289">
        <v>1935</v>
      </c>
      <c r="O18" s="289">
        <v>900</v>
      </c>
      <c r="P18" s="289">
        <v>1703</v>
      </c>
      <c r="Q18" s="289">
        <v>432</v>
      </c>
      <c r="R18" s="289">
        <v>956</v>
      </c>
      <c r="S18" s="289">
        <v>432</v>
      </c>
      <c r="T18" s="289">
        <v>987</v>
      </c>
      <c r="U18" s="289">
        <v>461.4</v>
      </c>
    </row>
    <row r="19" spans="1:21" x14ac:dyDescent="0.2">
      <c r="A19" s="400" t="s">
        <v>426</v>
      </c>
      <c r="B19" s="394">
        <v>666</v>
      </c>
      <c r="C19" s="394" t="s">
        <v>270</v>
      </c>
      <c r="D19" s="394">
        <v>670</v>
      </c>
      <c r="E19" s="394" t="s">
        <v>270</v>
      </c>
      <c r="F19" s="394">
        <v>666</v>
      </c>
      <c r="G19" s="394" t="s">
        <v>270</v>
      </c>
      <c r="H19" s="394">
        <v>639</v>
      </c>
      <c r="I19" s="394">
        <v>307</v>
      </c>
      <c r="J19" s="394">
        <v>574</v>
      </c>
      <c r="K19" s="289">
        <v>298</v>
      </c>
      <c r="L19" s="289">
        <v>595</v>
      </c>
      <c r="M19" s="289">
        <v>330</v>
      </c>
      <c r="N19" s="289">
        <v>671</v>
      </c>
      <c r="O19" s="289">
        <v>411</v>
      </c>
      <c r="P19" s="289">
        <v>851</v>
      </c>
      <c r="Q19" s="289">
        <v>875</v>
      </c>
      <c r="R19" s="289">
        <v>1782</v>
      </c>
      <c r="S19" s="289">
        <v>935</v>
      </c>
      <c r="T19" s="289">
        <v>1684</v>
      </c>
      <c r="U19" s="289">
        <v>1035.7</v>
      </c>
    </row>
    <row r="20" spans="1:21" x14ac:dyDescent="0.2">
      <c r="A20" s="388" t="s">
        <v>157</v>
      </c>
      <c r="B20" s="394">
        <v>666</v>
      </c>
      <c r="C20" s="394" t="s">
        <v>270</v>
      </c>
      <c r="D20" s="394">
        <v>670</v>
      </c>
      <c r="E20" s="394" t="s">
        <v>270</v>
      </c>
      <c r="F20" s="394">
        <v>666</v>
      </c>
      <c r="G20" s="394" t="s">
        <v>270</v>
      </c>
      <c r="H20" s="394">
        <v>635</v>
      </c>
      <c r="I20" s="394" t="s">
        <v>270</v>
      </c>
      <c r="J20" s="394">
        <v>523</v>
      </c>
      <c r="K20" s="289">
        <v>253</v>
      </c>
      <c r="L20" s="289">
        <v>517</v>
      </c>
      <c r="M20" s="289">
        <v>309</v>
      </c>
      <c r="N20" s="289">
        <v>640</v>
      </c>
      <c r="O20" s="289">
        <v>404</v>
      </c>
      <c r="P20" s="289">
        <v>815</v>
      </c>
      <c r="Q20" s="289">
        <v>836</v>
      </c>
      <c r="R20" s="289">
        <v>1737</v>
      </c>
      <c r="S20" s="289">
        <v>935</v>
      </c>
      <c r="T20" s="289">
        <v>1684</v>
      </c>
      <c r="U20" s="289">
        <v>1035.7</v>
      </c>
    </row>
    <row r="21" spans="1:21" x14ac:dyDescent="0.2">
      <c r="A21" s="388" t="s">
        <v>158</v>
      </c>
      <c r="B21" s="394">
        <v>0</v>
      </c>
      <c r="C21" s="394" t="s">
        <v>270</v>
      </c>
      <c r="D21" s="394">
        <v>0</v>
      </c>
      <c r="E21" s="394" t="s">
        <v>270</v>
      </c>
      <c r="F21" s="394">
        <v>0</v>
      </c>
      <c r="G21" s="394" t="s">
        <v>270</v>
      </c>
      <c r="H21" s="394">
        <v>4</v>
      </c>
      <c r="I21" s="394" t="s">
        <v>270</v>
      </c>
      <c r="J21" s="394">
        <v>51</v>
      </c>
      <c r="K21" s="289">
        <v>45</v>
      </c>
      <c r="L21" s="289">
        <v>78</v>
      </c>
      <c r="M21" s="289">
        <v>21</v>
      </c>
      <c r="N21" s="289">
        <v>31</v>
      </c>
      <c r="O21" s="289">
        <v>7</v>
      </c>
      <c r="P21" s="289">
        <v>36</v>
      </c>
      <c r="Q21" s="289">
        <v>39</v>
      </c>
      <c r="R21" s="289">
        <v>45</v>
      </c>
      <c r="S21" s="289">
        <v>0</v>
      </c>
      <c r="T21" s="289">
        <v>0</v>
      </c>
      <c r="U21" s="289">
        <v>0</v>
      </c>
    </row>
    <row r="22" spans="1:21" x14ac:dyDescent="0.2">
      <c r="A22" s="387" t="s">
        <v>161</v>
      </c>
      <c r="B22" s="177">
        <v>636</v>
      </c>
      <c r="C22" s="177">
        <v>340</v>
      </c>
      <c r="D22" s="177">
        <v>663</v>
      </c>
      <c r="E22" s="177">
        <v>347</v>
      </c>
      <c r="F22" s="177">
        <v>672</v>
      </c>
      <c r="G22" s="177">
        <v>337</v>
      </c>
      <c r="H22" s="177">
        <v>660</v>
      </c>
      <c r="I22" s="177">
        <v>316</v>
      </c>
      <c r="J22" s="177">
        <v>627</v>
      </c>
      <c r="K22" s="286">
        <v>313</v>
      </c>
      <c r="L22" s="286">
        <v>627</v>
      </c>
      <c r="M22" s="286">
        <v>322</v>
      </c>
      <c r="N22" s="286">
        <v>622</v>
      </c>
      <c r="O22" s="286">
        <v>326</v>
      </c>
      <c r="P22" s="177">
        <v>622</v>
      </c>
      <c r="Q22" s="177">
        <v>313</v>
      </c>
      <c r="R22" s="299">
        <v>660</v>
      </c>
      <c r="S22" s="299">
        <v>331</v>
      </c>
      <c r="T22" s="299">
        <v>642</v>
      </c>
      <c r="U22" s="286">
        <v>380.09999999999997</v>
      </c>
    </row>
    <row r="23" spans="1:21" x14ac:dyDescent="0.2">
      <c r="A23" s="400" t="s">
        <v>425</v>
      </c>
      <c r="B23" s="394">
        <v>505</v>
      </c>
      <c r="C23" s="394" t="s">
        <v>270</v>
      </c>
      <c r="D23" s="394">
        <v>529</v>
      </c>
      <c r="E23" s="394" t="s">
        <v>270</v>
      </c>
      <c r="F23" s="394">
        <v>536</v>
      </c>
      <c r="G23" s="394" t="s">
        <v>270</v>
      </c>
      <c r="H23" s="394">
        <v>529</v>
      </c>
      <c r="I23" s="394">
        <v>248</v>
      </c>
      <c r="J23" s="394">
        <v>504</v>
      </c>
      <c r="K23" s="289">
        <v>245</v>
      </c>
      <c r="L23" s="289">
        <v>500</v>
      </c>
      <c r="M23" s="289">
        <v>257</v>
      </c>
      <c r="N23" s="289">
        <v>488</v>
      </c>
      <c r="O23" s="289">
        <v>244</v>
      </c>
      <c r="P23" s="289">
        <v>449</v>
      </c>
      <c r="Q23" s="289">
        <v>113</v>
      </c>
      <c r="R23" s="289">
        <v>259</v>
      </c>
      <c r="S23" s="289">
        <v>111</v>
      </c>
      <c r="T23" s="289">
        <v>260</v>
      </c>
      <c r="U23" s="289">
        <v>114.2</v>
      </c>
    </row>
    <row r="24" spans="1:21" x14ac:dyDescent="0.2">
      <c r="A24" s="400" t="s">
        <v>426</v>
      </c>
      <c r="B24" s="394">
        <v>131</v>
      </c>
      <c r="C24" s="394" t="s">
        <v>270</v>
      </c>
      <c r="D24" s="394">
        <v>134</v>
      </c>
      <c r="E24" s="394" t="s">
        <v>270</v>
      </c>
      <c r="F24" s="394">
        <v>136</v>
      </c>
      <c r="G24" s="394" t="s">
        <v>270</v>
      </c>
      <c r="H24" s="394">
        <v>131</v>
      </c>
      <c r="I24" s="394">
        <v>68</v>
      </c>
      <c r="J24" s="394">
        <v>123</v>
      </c>
      <c r="K24" s="289">
        <v>68</v>
      </c>
      <c r="L24" s="289">
        <v>127</v>
      </c>
      <c r="M24" s="289">
        <v>65</v>
      </c>
      <c r="N24" s="289">
        <v>134</v>
      </c>
      <c r="O24" s="289">
        <v>82</v>
      </c>
      <c r="P24" s="289">
        <v>173</v>
      </c>
      <c r="Q24" s="289">
        <v>200</v>
      </c>
      <c r="R24" s="289">
        <v>401</v>
      </c>
      <c r="S24" s="289">
        <v>220</v>
      </c>
      <c r="T24" s="289">
        <v>382</v>
      </c>
      <c r="U24" s="289">
        <v>265.89999999999998</v>
      </c>
    </row>
    <row r="25" spans="1:21" x14ac:dyDescent="0.2">
      <c r="A25" s="388" t="s">
        <v>157</v>
      </c>
      <c r="B25" s="394">
        <v>131</v>
      </c>
      <c r="C25" s="394" t="s">
        <v>270</v>
      </c>
      <c r="D25" s="394">
        <v>134</v>
      </c>
      <c r="E25" s="394" t="s">
        <v>270</v>
      </c>
      <c r="F25" s="394">
        <v>136</v>
      </c>
      <c r="G25" s="394" t="s">
        <v>270</v>
      </c>
      <c r="H25" s="394">
        <v>129</v>
      </c>
      <c r="I25" s="394" t="s">
        <v>270</v>
      </c>
      <c r="J25" s="394">
        <v>100</v>
      </c>
      <c r="K25" s="394">
        <v>48</v>
      </c>
      <c r="L25" s="394">
        <v>95</v>
      </c>
      <c r="M25" s="394">
        <v>57</v>
      </c>
      <c r="N25" s="394">
        <v>122</v>
      </c>
      <c r="O25" s="394">
        <v>79</v>
      </c>
      <c r="P25" s="289">
        <v>159</v>
      </c>
      <c r="Q25" s="289">
        <v>186</v>
      </c>
      <c r="R25" s="289">
        <v>385</v>
      </c>
      <c r="S25" s="289">
        <v>220</v>
      </c>
      <c r="T25" s="289">
        <v>382</v>
      </c>
      <c r="U25" s="289">
        <v>265.89999999999998</v>
      </c>
    </row>
    <row r="26" spans="1:21" x14ac:dyDescent="0.2">
      <c r="A26" s="388" t="s">
        <v>158</v>
      </c>
      <c r="B26" s="394">
        <v>0</v>
      </c>
      <c r="C26" s="394" t="s">
        <v>270</v>
      </c>
      <c r="D26" s="394">
        <v>0</v>
      </c>
      <c r="E26" s="394" t="s">
        <v>270</v>
      </c>
      <c r="F26" s="394">
        <v>0</v>
      </c>
      <c r="G26" s="394" t="s">
        <v>270</v>
      </c>
      <c r="H26" s="394">
        <v>2</v>
      </c>
      <c r="I26" s="394" t="s">
        <v>270</v>
      </c>
      <c r="J26" s="394">
        <v>23</v>
      </c>
      <c r="K26" s="394">
        <v>20</v>
      </c>
      <c r="L26" s="394">
        <v>32</v>
      </c>
      <c r="M26" s="394">
        <v>8</v>
      </c>
      <c r="N26" s="394">
        <v>12</v>
      </c>
      <c r="O26" s="394">
        <v>3</v>
      </c>
      <c r="P26" s="289">
        <v>14</v>
      </c>
      <c r="Q26" s="289">
        <v>14</v>
      </c>
      <c r="R26" s="289">
        <v>16</v>
      </c>
      <c r="S26" s="289">
        <v>0</v>
      </c>
      <c r="T26" s="289">
        <v>0</v>
      </c>
      <c r="U26" s="289">
        <v>0</v>
      </c>
    </row>
    <row r="27" spans="1:21" x14ac:dyDescent="0.2">
      <c r="A27" s="625" t="s">
        <v>424</v>
      </c>
      <c r="B27" s="625"/>
      <c r="C27" s="625"/>
      <c r="D27" s="625"/>
      <c r="E27" s="625"/>
      <c r="F27" s="625"/>
      <c r="G27" s="625"/>
      <c r="H27" s="625"/>
      <c r="I27" s="625"/>
      <c r="J27" s="625"/>
      <c r="K27" s="625"/>
      <c r="L27" s="625"/>
      <c r="M27" s="625"/>
      <c r="N27" s="625"/>
      <c r="O27" s="625"/>
      <c r="P27" s="625"/>
      <c r="Q27" s="625"/>
      <c r="R27" s="625"/>
      <c r="S27" s="625"/>
      <c r="T27" s="625"/>
      <c r="U27" s="535"/>
    </row>
    <row r="28" spans="1:21" x14ac:dyDescent="0.2">
      <c r="A28" s="400" t="s">
        <v>159</v>
      </c>
      <c r="B28" s="394">
        <v>0</v>
      </c>
      <c r="C28" s="394">
        <v>0</v>
      </c>
      <c r="D28" s="394">
        <v>0</v>
      </c>
      <c r="E28" s="394">
        <v>0</v>
      </c>
      <c r="F28" s="394">
        <v>0</v>
      </c>
      <c r="G28" s="394">
        <v>0</v>
      </c>
      <c r="H28" s="394">
        <v>0</v>
      </c>
      <c r="I28" s="394">
        <v>0</v>
      </c>
      <c r="J28" s="394">
        <v>0</v>
      </c>
      <c r="K28" s="394">
        <v>0</v>
      </c>
      <c r="L28" s="394">
        <v>0</v>
      </c>
      <c r="M28" s="394">
        <v>0</v>
      </c>
      <c r="N28" s="394">
        <v>0</v>
      </c>
      <c r="O28" s="394">
        <v>0</v>
      </c>
      <c r="P28" s="394">
        <v>0</v>
      </c>
      <c r="Q28" s="394">
        <v>0</v>
      </c>
      <c r="R28" s="394">
        <v>0</v>
      </c>
      <c r="S28" s="289">
        <v>5022</v>
      </c>
      <c r="T28" s="289">
        <v>19417</v>
      </c>
      <c r="U28" s="289">
        <v>20252.791000000001</v>
      </c>
    </row>
    <row r="29" spans="1:21" x14ac:dyDescent="0.2">
      <c r="A29" s="400" t="s">
        <v>427</v>
      </c>
      <c r="B29" s="394">
        <v>0</v>
      </c>
      <c r="C29" s="394">
        <v>0</v>
      </c>
      <c r="D29" s="394">
        <v>0</v>
      </c>
      <c r="E29" s="394">
        <v>0</v>
      </c>
      <c r="F29" s="394">
        <v>0</v>
      </c>
      <c r="G29" s="394">
        <v>0</v>
      </c>
      <c r="H29" s="394">
        <v>0</v>
      </c>
      <c r="I29" s="394">
        <v>0</v>
      </c>
      <c r="J29" s="394">
        <v>0</v>
      </c>
      <c r="K29" s="394">
        <v>0</v>
      </c>
      <c r="L29" s="394">
        <v>0</v>
      </c>
      <c r="M29" s="394">
        <v>0</v>
      </c>
      <c r="N29" s="394">
        <v>0</v>
      </c>
      <c r="O29" s="394">
        <v>0</v>
      </c>
      <c r="P29" s="394">
        <v>0</v>
      </c>
      <c r="Q29" s="394">
        <v>0</v>
      </c>
      <c r="R29" s="394">
        <v>0</v>
      </c>
      <c r="S29" s="289">
        <v>21</v>
      </c>
      <c r="T29" s="289">
        <v>90</v>
      </c>
      <c r="U29" s="289">
        <v>86.8</v>
      </c>
    </row>
    <row r="30" spans="1:21" x14ac:dyDescent="0.2">
      <c r="A30" s="400" t="s">
        <v>428</v>
      </c>
      <c r="B30" s="394">
        <v>0</v>
      </c>
      <c r="C30" s="394">
        <v>0</v>
      </c>
      <c r="D30" s="394">
        <v>0</v>
      </c>
      <c r="E30" s="394">
        <v>0</v>
      </c>
      <c r="F30" s="394">
        <v>0</v>
      </c>
      <c r="G30" s="394">
        <v>0</v>
      </c>
      <c r="H30" s="394">
        <v>0</v>
      </c>
      <c r="I30" s="394">
        <v>0</v>
      </c>
      <c r="J30" s="394">
        <v>0</v>
      </c>
      <c r="K30" s="394">
        <v>0</v>
      </c>
      <c r="L30" s="394">
        <v>0</v>
      </c>
      <c r="M30" s="394">
        <v>0</v>
      </c>
      <c r="N30" s="394">
        <v>0</v>
      </c>
      <c r="O30" s="394">
        <v>0</v>
      </c>
      <c r="P30" s="394">
        <v>0</v>
      </c>
      <c r="Q30" s="394">
        <v>0</v>
      </c>
      <c r="R30" s="394">
        <v>0</v>
      </c>
      <c r="S30" s="289">
        <v>25.6</v>
      </c>
      <c r="T30" s="289">
        <v>346</v>
      </c>
      <c r="U30" s="289">
        <v>504.64662199999998</v>
      </c>
    </row>
    <row r="31" spans="1:21" ht="14.25" x14ac:dyDescent="0.2">
      <c r="A31" s="625" t="s">
        <v>611</v>
      </c>
      <c r="B31" s="625"/>
      <c r="C31" s="625"/>
      <c r="D31" s="625"/>
      <c r="E31" s="625"/>
      <c r="F31" s="625"/>
      <c r="G31" s="625"/>
      <c r="H31" s="625"/>
      <c r="I31" s="625"/>
      <c r="J31" s="625"/>
      <c r="K31" s="625"/>
      <c r="L31" s="625"/>
      <c r="M31" s="625"/>
      <c r="N31" s="625"/>
      <c r="O31" s="625"/>
      <c r="P31" s="625"/>
      <c r="Q31" s="625"/>
      <c r="R31" s="625"/>
      <c r="S31" s="625"/>
      <c r="T31" s="625"/>
      <c r="U31" s="625"/>
    </row>
    <row r="32" spans="1:21" ht="14.25" x14ac:dyDescent="0.2">
      <c r="A32" s="400" t="s">
        <v>612</v>
      </c>
      <c r="B32" s="375">
        <v>28452</v>
      </c>
      <c r="C32" s="394">
        <v>21712</v>
      </c>
      <c r="D32" s="394">
        <v>49159</v>
      </c>
      <c r="E32" s="394">
        <v>20278</v>
      </c>
      <c r="F32" s="394">
        <v>48525</v>
      </c>
      <c r="G32" s="394">
        <v>20932</v>
      </c>
      <c r="H32" s="394">
        <v>45518</v>
      </c>
      <c r="I32" s="394">
        <v>20474</v>
      </c>
      <c r="J32" s="394">
        <v>44252</v>
      </c>
      <c r="K32" s="263">
        <v>16620</v>
      </c>
      <c r="L32" s="263">
        <v>42603</v>
      </c>
      <c r="M32" s="263">
        <v>22007</v>
      </c>
      <c r="N32" s="263">
        <v>43479</v>
      </c>
      <c r="O32" s="263">
        <v>22354</v>
      </c>
      <c r="P32" s="263">
        <v>53654</v>
      </c>
      <c r="Q32" s="263">
        <v>27052</v>
      </c>
      <c r="R32" s="263">
        <v>59716</v>
      </c>
      <c r="S32" s="289">
        <v>27982</v>
      </c>
      <c r="T32" s="289">
        <v>60765</v>
      </c>
      <c r="U32" s="289">
        <v>29642.572</v>
      </c>
    </row>
    <row r="33" spans="1:21" x14ac:dyDescent="0.2">
      <c r="A33" s="388" t="s">
        <v>157</v>
      </c>
      <c r="B33" s="394">
        <v>0</v>
      </c>
      <c r="C33" s="394"/>
      <c r="D33" s="394">
        <v>0</v>
      </c>
      <c r="E33" s="394"/>
      <c r="F33" s="394">
        <v>0</v>
      </c>
      <c r="G33" s="394"/>
      <c r="H33" s="394">
        <v>0</v>
      </c>
      <c r="I33" s="394"/>
      <c r="J33" s="394">
        <v>0</v>
      </c>
      <c r="K33" s="263"/>
      <c r="L33" s="263">
        <v>0</v>
      </c>
      <c r="M33" s="263"/>
      <c r="N33" s="263">
        <v>424</v>
      </c>
      <c r="O33" s="263">
        <v>1263</v>
      </c>
      <c r="P33" s="263">
        <v>19012</v>
      </c>
      <c r="Q33" s="263">
        <v>23160</v>
      </c>
      <c r="R33" s="263">
        <v>55021</v>
      </c>
      <c r="S33" s="289">
        <v>27306</v>
      </c>
      <c r="T33" s="289">
        <v>59337</v>
      </c>
      <c r="U33" s="289">
        <v>27702.097999999998</v>
      </c>
    </row>
    <row r="34" spans="1:21" x14ac:dyDescent="0.2">
      <c r="A34" s="400" t="s">
        <v>159</v>
      </c>
      <c r="B34" s="394">
        <v>4983</v>
      </c>
      <c r="C34" s="394">
        <v>5235</v>
      </c>
      <c r="D34" s="394">
        <v>11279</v>
      </c>
      <c r="E34" s="394">
        <v>2911</v>
      </c>
      <c r="F34" s="394">
        <v>5681</v>
      </c>
      <c r="G34" s="394">
        <v>1006</v>
      </c>
      <c r="H34" s="394">
        <v>1006</v>
      </c>
      <c r="I34" s="394">
        <v>3694</v>
      </c>
      <c r="J34" s="394">
        <v>6549</v>
      </c>
      <c r="K34" s="263">
        <v>3242</v>
      </c>
      <c r="L34" s="263">
        <v>10629</v>
      </c>
      <c r="M34" s="263">
        <v>6073</v>
      </c>
      <c r="N34" s="263">
        <v>13048</v>
      </c>
      <c r="O34" s="263">
        <v>3451</v>
      </c>
      <c r="P34" s="263">
        <v>9598</v>
      </c>
      <c r="Q34" s="263">
        <v>5220</v>
      </c>
      <c r="R34" s="263">
        <v>13441</v>
      </c>
      <c r="S34" s="289">
        <v>9066</v>
      </c>
      <c r="T34" s="289">
        <v>18036</v>
      </c>
      <c r="U34" s="289">
        <v>7890.9669999999996</v>
      </c>
    </row>
    <row r="35" spans="1:21" ht="14.25" customHeight="1" x14ac:dyDescent="0.2">
      <c r="A35" s="388" t="s">
        <v>157</v>
      </c>
      <c r="B35" s="394">
        <v>0</v>
      </c>
      <c r="C35" s="394"/>
      <c r="D35" s="394">
        <v>0</v>
      </c>
      <c r="E35" s="394"/>
      <c r="F35" s="394">
        <v>0</v>
      </c>
      <c r="G35" s="394"/>
      <c r="H35" s="394">
        <v>0</v>
      </c>
      <c r="I35" s="394"/>
      <c r="J35" s="394">
        <v>0</v>
      </c>
      <c r="K35" s="263"/>
      <c r="L35" s="263">
        <v>0</v>
      </c>
      <c r="M35" s="263"/>
      <c r="N35" s="263">
        <v>0</v>
      </c>
      <c r="O35" s="263"/>
      <c r="P35" s="263">
        <v>593</v>
      </c>
      <c r="Q35" s="263">
        <v>4178</v>
      </c>
      <c r="R35" s="263">
        <v>12328</v>
      </c>
      <c r="S35" s="289">
        <v>9047</v>
      </c>
      <c r="T35" s="289">
        <v>17980</v>
      </c>
      <c r="U35" s="289">
        <v>7687.1280790614501</v>
      </c>
    </row>
    <row r="36" spans="1:21" x14ac:dyDescent="0.2">
      <c r="A36" s="269" t="s">
        <v>160</v>
      </c>
      <c r="B36" s="86">
        <v>18</v>
      </c>
      <c r="C36" s="86">
        <v>21</v>
      </c>
      <c r="D36" s="86">
        <v>48</v>
      </c>
      <c r="E36" s="86">
        <v>19</v>
      </c>
      <c r="F36" s="86">
        <v>34</v>
      </c>
      <c r="G36" s="86">
        <v>23</v>
      </c>
      <c r="H36" s="86">
        <v>21</v>
      </c>
      <c r="I36" s="86">
        <v>23</v>
      </c>
      <c r="J36" s="86">
        <v>39</v>
      </c>
      <c r="K36" s="263">
        <v>22</v>
      </c>
      <c r="L36" s="263">
        <v>74</v>
      </c>
      <c r="M36" s="263">
        <v>41</v>
      </c>
      <c r="N36" s="263">
        <v>78</v>
      </c>
      <c r="O36" s="263">
        <v>20</v>
      </c>
      <c r="P36" s="263">
        <v>64</v>
      </c>
      <c r="Q36" s="263">
        <v>27</v>
      </c>
      <c r="R36" s="263">
        <v>42</v>
      </c>
      <c r="S36" s="289">
        <v>28</v>
      </c>
      <c r="T36" s="289">
        <v>58</v>
      </c>
      <c r="U36" s="289">
        <v>36.300000000000004</v>
      </c>
    </row>
    <row r="37" spans="1:21" x14ac:dyDescent="0.2">
      <c r="A37" s="388" t="s">
        <v>157</v>
      </c>
      <c r="B37" s="86">
        <v>0</v>
      </c>
      <c r="C37" s="86"/>
      <c r="D37" s="86">
        <v>0</v>
      </c>
      <c r="E37" s="86"/>
      <c r="F37" s="86">
        <v>0</v>
      </c>
      <c r="G37" s="86"/>
      <c r="H37" s="86">
        <v>0</v>
      </c>
      <c r="I37" s="86"/>
      <c r="J37" s="86">
        <v>0</v>
      </c>
      <c r="K37" s="263"/>
      <c r="L37" s="263">
        <v>0</v>
      </c>
      <c r="M37" s="263"/>
      <c r="N37" s="263">
        <v>0</v>
      </c>
      <c r="O37" s="263"/>
      <c r="P37" s="263">
        <v>8</v>
      </c>
      <c r="Q37" s="263">
        <v>12</v>
      </c>
      <c r="R37" s="263">
        <v>35</v>
      </c>
      <c r="S37" s="289">
        <v>28</v>
      </c>
      <c r="T37" s="289">
        <v>58</v>
      </c>
      <c r="U37" s="289">
        <v>34.200000000000003</v>
      </c>
    </row>
    <row r="38" spans="1:21" x14ac:dyDescent="0.2">
      <c r="A38" s="269" t="s">
        <v>161</v>
      </c>
      <c r="B38" s="86">
        <v>5</v>
      </c>
      <c r="C38" s="86">
        <v>7</v>
      </c>
      <c r="D38" s="86">
        <v>15</v>
      </c>
      <c r="E38" s="86">
        <v>6</v>
      </c>
      <c r="F38" s="86">
        <v>12</v>
      </c>
      <c r="G38" s="86">
        <v>9</v>
      </c>
      <c r="H38" s="86">
        <v>9</v>
      </c>
      <c r="I38" s="86">
        <v>10</v>
      </c>
      <c r="J38" s="86">
        <v>16</v>
      </c>
      <c r="K38" s="263">
        <v>9</v>
      </c>
      <c r="L38" s="263">
        <v>31</v>
      </c>
      <c r="M38" s="263">
        <v>16</v>
      </c>
      <c r="N38" s="263">
        <v>33</v>
      </c>
      <c r="O38" s="263">
        <v>8</v>
      </c>
      <c r="P38" s="263">
        <v>22</v>
      </c>
      <c r="Q38" s="263">
        <v>7</v>
      </c>
      <c r="R38" s="263">
        <v>10</v>
      </c>
      <c r="S38" s="289">
        <v>4</v>
      </c>
      <c r="T38" s="289">
        <v>11</v>
      </c>
      <c r="U38" s="289">
        <v>8.1999999999999993</v>
      </c>
    </row>
    <row r="39" spans="1:21" ht="13.5" customHeight="1" x14ac:dyDescent="0.2">
      <c r="A39" s="388" t="s">
        <v>157</v>
      </c>
      <c r="B39" s="86">
        <v>0</v>
      </c>
      <c r="C39" s="86"/>
      <c r="D39" s="86">
        <v>0</v>
      </c>
      <c r="E39" s="86"/>
      <c r="F39" s="86">
        <v>0</v>
      </c>
      <c r="G39" s="86"/>
      <c r="H39" s="86">
        <v>0</v>
      </c>
      <c r="I39" s="86"/>
      <c r="J39" s="86">
        <v>0</v>
      </c>
      <c r="K39" s="263"/>
      <c r="L39" s="263">
        <v>0</v>
      </c>
      <c r="M39" s="263"/>
      <c r="N39" s="263">
        <v>0</v>
      </c>
      <c r="O39" s="263"/>
      <c r="P39" s="263">
        <v>2</v>
      </c>
      <c r="Q39" s="263">
        <v>2</v>
      </c>
      <c r="R39" s="263">
        <v>6</v>
      </c>
      <c r="S39" s="289">
        <v>4</v>
      </c>
      <c r="T39" s="289">
        <v>11</v>
      </c>
      <c r="U39" s="289">
        <v>6.6</v>
      </c>
    </row>
    <row r="40" spans="1:21" ht="14.25" customHeight="1" x14ac:dyDescent="0.2">
      <c r="A40" s="625" t="s">
        <v>162</v>
      </c>
      <c r="B40" s="625"/>
      <c r="C40" s="625"/>
      <c r="D40" s="625"/>
      <c r="E40" s="625"/>
      <c r="F40" s="625"/>
      <c r="G40" s="625"/>
      <c r="H40" s="625"/>
      <c r="I40" s="625"/>
      <c r="J40" s="625"/>
      <c r="K40" s="625"/>
      <c r="L40" s="625"/>
      <c r="M40" s="625"/>
      <c r="N40" s="625"/>
      <c r="O40" s="625"/>
      <c r="P40" s="625"/>
      <c r="Q40" s="625"/>
      <c r="R40" s="625"/>
      <c r="S40" s="625"/>
      <c r="T40" s="625"/>
      <c r="U40" s="625"/>
    </row>
    <row r="41" spans="1:21" ht="13.5" customHeight="1" x14ac:dyDescent="0.2">
      <c r="A41" s="269" t="s">
        <v>613</v>
      </c>
      <c r="B41" s="375">
        <v>1223</v>
      </c>
      <c r="C41" s="86">
        <v>0</v>
      </c>
      <c r="D41" s="86">
        <v>0</v>
      </c>
      <c r="E41" s="86">
        <v>0</v>
      </c>
      <c r="F41" s="86">
        <v>0</v>
      </c>
      <c r="G41" s="86">
        <v>4029</v>
      </c>
      <c r="H41" s="86">
        <v>8975</v>
      </c>
      <c r="I41" s="86">
        <v>2826</v>
      </c>
      <c r="J41" s="86">
        <v>2826</v>
      </c>
      <c r="K41" s="181">
        <v>0</v>
      </c>
      <c r="L41" s="181">
        <v>0</v>
      </c>
      <c r="M41" s="181">
        <v>0</v>
      </c>
      <c r="N41" s="181">
        <v>0</v>
      </c>
      <c r="O41" s="181">
        <v>0</v>
      </c>
      <c r="P41" s="263">
        <v>0</v>
      </c>
      <c r="Q41" s="263">
        <v>0</v>
      </c>
      <c r="R41" s="263">
        <v>0</v>
      </c>
      <c r="S41" s="263">
        <v>0</v>
      </c>
      <c r="T41" s="263">
        <v>0</v>
      </c>
      <c r="U41" s="263">
        <v>0</v>
      </c>
    </row>
    <row r="42" spans="1:21" ht="15" customHeight="1" x14ac:dyDescent="0.2">
      <c r="A42" s="625" t="s">
        <v>163</v>
      </c>
      <c r="B42" s="625"/>
      <c r="C42" s="625"/>
      <c r="D42" s="625"/>
      <c r="E42" s="625"/>
      <c r="F42" s="625"/>
      <c r="G42" s="625"/>
      <c r="H42" s="625"/>
      <c r="I42" s="625"/>
      <c r="J42" s="625"/>
      <c r="K42" s="625"/>
      <c r="L42" s="625"/>
      <c r="M42" s="625"/>
      <c r="N42" s="625"/>
      <c r="O42" s="625"/>
      <c r="P42" s="625"/>
      <c r="Q42" s="625"/>
      <c r="R42" s="625"/>
      <c r="S42" s="625"/>
      <c r="T42" s="625"/>
      <c r="U42" s="625"/>
    </row>
    <row r="43" spans="1:21" x14ac:dyDescent="0.2">
      <c r="A43" s="169" t="s">
        <v>164</v>
      </c>
      <c r="B43" s="375">
        <v>17401</v>
      </c>
      <c r="C43" s="86">
        <v>8180</v>
      </c>
      <c r="D43" s="86">
        <v>11163</v>
      </c>
      <c r="E43" s="86">
        <v>5071</v>
      </c>
      <c r="F43" s="86">
        <v>9346</v>
      </c>
      <c r="G43" s="86">
        <v>5438</v>
      </c>
      <c r="H43" s="86">
        <v>12215</v>
      </c>
      <c r="I43" s="86">
        <v>4103</v>
      </c>
      <c r="J43" s="86">
        <v>6416</v>
      </c>
      <c r="K43" s="86">
        <v>3329</v>
      </c>
      <c r="L43" s="86">
        <v>3207</v>
      </c>
      <c r="M43" s="86">
        <v>1822</v>
      </c>
      <c r="N43" s="86">
        <v>911</v>
      </c>
      <c r="O43" s="86">
        <v>0</v>
      </c>
      <c r="P43" s="263">
        <v>0</v>
      </c>
      <c r="Q43" s="263">
        <v>0</v>
      </c>
      <c r="R43" s="263">
        <v>0</v>
      </c>
      <c r="S43" s="289">
        <v>0</v>
      </c>
      <c r="T43" s="289">
        <v>0</v>
      </c>
      <c r="U43" s="289"/>
    </row>
    <row r="44" spans="1:21" ht="15" customHeight="1" x14ac:dyDescent="0.2">
      <c r="A44" s="291" t="s">
        <v>165</v>
      </c>
      <c r="B44" s="86">
        <v>17401</v>
      </c>
      <c r="C44" s="86">
        <v>8180</v>
      </c>
      <c r="D44" s="86">
        <v>11163</v>
      </c>
      <c r="E44" s="86">
        <v>5071</v>
      </c>
      <c r="F44" s="86">
        <v>9346</v>
      </c>
      <c r="G44" s="86">
        <v>5438</v>
      </c>
      <c r="H44" s="86">
        <v>12215</v>
      </c>
      <c r="I44" s="86">
        <v>4103</v>
      </c>
      <c r="J44" s="86">
        <v>6416</v>
      </c>
      <c r="K44" s="263">
        <v>1665</v>
      </c>
      <c r="L44" s="263">
        <v>3207</v>
      </c>
      <c r="M44" s="263">
        <v>911</v>
      </c>
      <c r="N44" s="263">
        <v>911</v>
      </c>
      <c r="O44" s="263">
        <v>0</v>
      </c>
      <c r="P44" s="263">
        <v>0</v>
      </c>
      <c r="Q44" s="263">
        <v>0</v>
      </c>
      <c r="R44" s="263">
        <v>0</v>
      </c>
      <c r="S44" s="289">
        <v>0</v>
      </c>
      <c r="T44" s="289">
        <v>0</v>
      </c>
      <c r="U44" s="289"/>
    </row>
    <row r="45" spans="1:21" ht="15" customHeight="1" x14ac:dyDescent="0.2">
      <c r="A45" s="292" t="s">
        <v>166</v>
      </c>
      <c r="B45" s="86">
        <v>0</v>
      </c>
      <c r="C45" s="86">
        <v>0</v>
      </c>
      <c r="D45" s="86">
        <v>0</v>
      </c>
      <c r="E45" s="86">
        <v>0</v>
      </c>
      <c r="F45" s="86">
        <v>0</v>
      </c>
      <c r="G45" s="86">
        <v>0</v>
      </c>
      <c r="H45" s="86">
        <v>0</v>
      </c>
      <c r="I45" s="86">
        <v>0</v>
      </c>
      <c r="J45" s="86">
        <v>1655</v>
      </c>
      <c r="K45" s="263">
        <v>1665</v>
      </c>
      <c r="L45" s="263">
        <v>3207</v>
      </c>
      <c r="M45" s="263">
        <v>911</v>
      </c>
      <c r="N45" s="263">
        <v>911</v>
      </c>
      <c r="O45" s="263">
        <v>0</v>
      </c>
      <c r="P45" s="263">
        <v>0</v>
      </c>
      <c r="Q45" s="263">
        <v>0</v>
      </c>
      <c r="R45" s="263">
        <v>0</v>
      </c>
      <c r="S45" s="289">
        <v>0</v>
      </c>
      <c r="T45" s="289">
        <v>0</v>
      </c>
      <c r="U45" s="289"/>
    </row>
    <row r="46" spans="1:21" ht="15" customHeight="1" x14ac:dyDescent="0.2">
      <c r="A46" s="167" t="s">
        <v>485</v>
      </c>
      <c r="B46" s="375">
        <v>3005</v>
      </c>
      <c r="C46" s="86">
        <v>0</v>
      </c>
      <c r="D46" s="86">
        <v>5525</v>
      </c>
      <c r="E46" s="86">
        <v>2839</v>
      </c>
      <c r="F46" s="86">
        <v>5815</v>
      </c>
      <c r="G46" s="86">
        <v>3995</v>
      </c>
      <c r="H46" s="86">
        <v>9624</v>
      </c>
      <c r="I46" s="86">
        <v>5990</v>
      </c>
      <c r="J46" s="86">
        <v>11920</v>
      </c>
      <c r="K46" s="263">
        <v>6000</v>
      </c>
      <c r="L46" s="263">
        <v>11359</v>
      </c>
      <c r="M46" s="263">
        <v>5382</v>
      </c>
      <c r="N46" s="263">
        <v>11350</v>
      </c>
      <c r="O46" s="263">
        <v>5070</v>
      </c>
      <c r="P46" s="263">
        <v>8486</v>
      </c>
      <c r="Q46" s="263">
        <v>4639</v>
      </c>
      <c r="R46" s="263">
        <v>8006</v>
      </c>
      <c r="S46" s="289">
        <v>3285</v>
      </c>
      <c r="T46" s="289">
        <v>6597</v>
      </c>
      <c r="U46" s="289">
        <v>3792</v>
      </c>
    </row>
    <row r="47" spans="1:21" ht="13.5" customHeight="1" x14ac:dyDescent="0.2">
      <c r="A47" s="167" t="s">
        <v>167</v>
      </c>
      <c r="B47" s="86">
        <v>13352</v>
      </c>
      <c r="C47" s="86">
        <v>8630</v>
      </c>
      <c r="D47" s="86">
        <v>11050</v>
      </c>
      <c r="E47" s="86">
        <v>5064</v>
      </c>
      <c r="F47" s="86">
        <v>8803</v>
      </c>
      <c r="G47" s="86">
        <v>4953</v>
      </c>
      <c r="H47" s="86">
        <v>10292</v>
      </c>
      <c r="I47" s="86">
        <v>3445</v>
      </c>
      <c r="J47" s="86">
        <v>5412</v>
      </c>
      <c r="K47" s="86">
        <v>2539</v>
      </c>
      <c r="L47" s="86">
        <v>2436</v>
      </c>
      <c r="M47" s="86">
        <v>1342</v>
      </c>
      <c r="N47" s="86">
        <v>671</v>
      </c>
      <c r="O47" s="86">
        <v>0</v>
      </c>
      <c r="P47" s="263">
        <v>0</v>
      </c>
      <c r="Q47" s="263">
        <v>0</v>
      </c>
      <c r="R47" s="263">
        <v>0</v>
      </c>
      <c r="S47" s="289">
        <v>0</v>
      </c>
      <c r="T47" s="289">
        <v>0</v>
      </c>
      <c r="U47" s="289"/>
    </row>
    <row r="48" spans="1:21" x14ac:dyDescent="0.2">
      <c r="A48" s="292" t="s">
        <v>168</v>
      </c>
      <c r="B48" s="86">
        <v>13352</v>
      </c>
      <c r="C48" s="86" t="s">
        <v>270</v>
      </c>
      <c r="D48" s="86">
        <v>11050</v>
      </c>
      <c r="E48" s="86">
        <v>5064</v>
      </c>
      <c r="F48" s="86">
        <v>8803</v>
      </c>
      <c r="G48" s="86">
        <v>4953</v>
      </c>
      <c r="H48" s="86">
        <v>10292</v>
      </c>
      <c r="I48" s="293">
        <v>3445</v>
      </c>
      <c r="J48" s="293">
        <v>5412</v>
      </c>
      <c r="K48" s="86">
        <v>1269</v>
      </c>
      <c r="L48" s="86">
        <v>2436</v>
      </c>
      <c r="M48" s="86">
        <v>671</v>
      </c>
      <c r="N48" s="86">
        <v>671</v>
      </c>
      <c r="O48" s="86">
        <v>0</v>
      </c>
      <c r="P48" s="263">
        <v>0</v>
      </c>
      <c r="Q48" s="263">
        <v>0</v>
      </c>
      <c r="R48" s="263">
        <v>0</v>
      </c>
      <c r="S48" s="289">
        <v>0</v>
      </c>
      <c r="T48" s="289">
        <v>0</v>
      </c>
      <c r="U48" s="289"/>
    </row>
    <row r="49" spans="1:37" x14ac:dyDescent="0.2">
      <c r="A49" s="292" t="s">
        <v>169</v>
      </c>
      <c r="B49" s="86" t="s">
        <v>270</v>
      </c>
      <c r="C49" s="86" t="s">
        <v>270</v>
      </c>
      <c r="D49" s="86">
        <v>0</v>
      </c>
      <c r="E49" s="86">
        <v>0</v>
      </c>
      <c r="F49" s="86">
        <v>0</v>
      </c>
      <c r="G49" s="86">
        <v>0</v>
      </c>
      <c r="H49" s="86">
        <v>0</v>
      </c>
      <c r="I49" s="293">
        <v>0</v>
      </c>
      <c r="J49" s="293">
        <v>1403</v>
      </c>
      <c r="K49" s="86">
        <v>1269</v>
      </c>
      <c r="L49" s="86">
        <v>2436</v>
      </c>
      <c r="M49" s="86">
        <v>671</v>
      </c>
      <c r="N49" s="86">
        <v>671</v>
      </c>
      <c r="O49" s="86">
        <v>0</v>
      </c>
      <c r="P49" s="263">
        <v>0</v>
      </c>
      <c r="Q49" s="263">
        <v>0</v>
      </c>
      <c r="R49" s="263">
        <v>0</v>
      </c>
      <c r="S49" s="289">
        <v>0</v>
      </c>
      <c r="T49" s="289">
        <v>0</v>
      </c>
      <c r="U49" s="289"/>
    </row>
    <row r="50" spans="1:37" ht="14.25" customHeight="1" x14ac:dyDescent="0.2">
      <c r="A50" s="167" t="s">
        <v>486</v>
      </c>
      <c r="B50" s="86">
        <v>1436</v>
      </c>
      <c r="C50" s="86" t="s">
        <v>270</v>
      </c>
      <c r="D50" s="86">
        <v>3082</v>
      </c>
      <c r="E50" s="86">
        <v>1342</v>
      </c>
      <c r="F50" s="86">
        <v>2927</v>
      </c>
      <c r="G50" s="86">
        <v>2100</v>
      </c>
      <c r="H50" s="86">
        <v>4594</v>
      </c>
      <c r="I50" s="293">
        <v>2448</v>
      </c>
      <c r="J50" s="293">
        <v>5034</v>
      </c>
      <c r="K50" s="86">
        <v>2602</v>
      </c>
      <c r="L50" s="86">
        <v>4938</v>
      </c>
      <c r="M50" s="86">
        <v>2533</v>
      </c>
      <c r="N50" s="86">
        <v>5301</v>
      </c>
      <c r="O50" s="86">
        <v>2345</v>
      </c>
      <c r="P50" s="263">
        <v>4007</v>
      </c>
      <c r="Q50" s="263">
        <v>2262</v>
      </c>
      <c r="R50" s="263">
        <v>4504</v>
      </c>
      <c r="S50" s="289">
        <v>1444</v>
      </c>
      <c r="T50" s="289">
        <v>3055</v>
      </c>
      <c r="U50" s="289">
        <v>1971</v>
      </c>
    </row>
    <row r="51" spans="1:37" ht="13.5" customHeight="1" x14ac:dyDescent="0.2">
      <c r="A51" s="167" t="s">
        <v>170</v>
      </c>
      <c r="B51" s="294">
        <v>100</v>
      </c>
      <c r="C51" s="294">
        <v>66</v>
      </c>
      <c r="D51" s="294">
        <v>84</v>
      </c>
      <c r="E51" s="294">
        <v>42</v>
      </c>
      <c r="F51" s="294">
        <v>68</v>
      </c>
      <c r="G51" s="294">
        <v>37</v>
      </c>
      <c r="H51" s="294">
        <v>83</v>
      </c>
      <c r="I51" s="294">
        <v>26</v>
      </c>
      <c r="J51" s="294">
        <v>43</v>
      </c>
      <c r="K51" s="294">
        <v>19.399999999999999</v>
      </c>
      <c r="L51" s="294">
        <v>18</v>
      </c>
      <c r="M51" s="294">
        <v>10</v>
      </c>
      <c r="N51" s="294">
        <v>5</v>
      </c>
      <c r="O51" s="294">
        <v>0</v>
      </c>
      <c r="P51" s="263">
        <v>0</v>
      </c>
      <c r="Q51" s="263">
        <v>0</v>
      </c>
      <c r="R51" s="263">
        <v>0</v>
      </c>
      <c r="S51" s="289">
        <v>0</v>
      </c>
      <c r="T51" s="289">
        <v>0</v>
      </c>
      <c r="U51" s="289"/>
    </row>
    <row r="52" spans="1:37" ht="16.5" customHeight="1" x14ac:dyDescent="0.2">
      <c r="A52" s="292" t="s">
        <v>171</v>
      </c>
      <c r="B52" s="294">
        <v>100</v>
      </c>
      <c r="C52" s="86" t="s">
        <v>270</v>
      </c>
      <c r="D52" s="86">
        <v>84</v>
      </c>
      <c r="E52" s="86">
        <v>42</v>
      </c>
      <c r="F52" s="86">
        <v>68</v>
      </c>
      <c r="G52" s="86">
        <v>37</v>
      </c>
      <c r="H52" s="86">
        <v>83</v>
      </c>
      <c r="I52" s="86">
        <v>26</v>
      </c>
      <c r="J52" s="86">
        <v>43</v>
      </c>
      <c r="K52" s="263">
        <v>9.6999999999999993</v>
      </c>
      <c r="L52" s="263">
        <v>18</v>
      </c>
      <c r="M52" s="263">
        <v>5</v>
      </c>
      <c r="N52" s="263">
        <v>5</v>
      </c>
      <c r="O52" s="263">
        <v>0</v>
      </c>
      <c r="P52" s="263">
        <v>0</v>
      </c>
      <c r="Q52" s="263">
        <v>0</v>
      </c>
      <c r="R52" s="263">
        <v>0</v>
      </c>
      <c r="S52" s="289">
        <v>0</v>
      </c>
      <c r="T52" s="289">
        <v>0</v>
      </c>
      <c r="U52" s="289"/>
    </row>
    <row r="53" spans="1:37" ht="15.75" customHeight="1" x14ac:dyDescent="0.2">
      <c r="A53" s="292" t="s">
        <v>172</v>
      </c>
      <c r="B53" s="86" t="s">
        <v>270</v>
      </c>
      <c r="C53" s="86" t="s">
        <v>270</v>
      </c>
      <c r="D53" s="86">
        <v>0</v>
      </c>
      <c r="E53" s="86">
        <v>0</v>
      </c>
      <c r="F53" s="86">
        <v>0</v>
      </c>
      <c r="G53" s="86">
        <v>0</v>
      </c>
      <c r="H53" s="86">
        <v>0</v>
      </c>
      <c r="I53" s="86">
        <v>0</v>
      </c>
      <c r="J53" s="86">
        <v>13</v>
      </c>
      <c r="K53" s="263">
        <v>9.6999999999999993</v>
      </c>
      <c r="L53" s="263">
        <v>18</v>
      </c>
      <c r="M53" s="263">
        <v>5</v>
      </c>
      <c r="N53" s="263">
        <v>5</v>
      </c>
      <c r="O53" s="263">
        <v>0</v>
      </c>
      <c r="P53" s="263">
        <v>0</v>
      </c>
      <c r="Q53" s="263">
        <v>0</v>
      </c>
      <c r="R53" s="263">
        <v>0</v>
      </c>
      <c r="S53" s="289">
        <v>0</v>
      </c>
      <c r="T53" s="289">
        <v>0</v>
      </c>
      <c r="U53" s="289"/>
    </row>
    <row r="54" spans="1:37" ht="14.25" customHeight="1" x14ac:dyDescent="0.2">
      <c r="A54" s="167" t="s">
        <v>487</v>
      </c>
      <c r="B54" s="86">
        <v>11</v>
      </c>
      <c r="C54" s="86" t="s">
        <v>270</v>
      </c>
      <c r="D54" s="86">
        <v>23</v>
      </c>
      <c r="E54" s="86">
        <v>11</v>
      </c>
      <c r="F54" s="86">
        <v>24</v>
      </c>
      <c r="G54" s="86">
        <v>14</v>
      </c>
      <c r="H54" s="86">
        <v>32</v>
      </c>
      <c r="I54" s="86">
        <v>20.100000000000001</v>
      </c>
      <c r="J54" s="86">
        <v>46</v>
      </c>
      <c r="K54" s="263">
        <v>24.8</v>
      </c>
      <c r="L54" s="263">
        <v>48</v>
      </c>
      <c r="M54" s="263">
        <v>26</v>
      </c>
      <c r="N54" s="263">
        <v>53</v>
      </c>
      <c r="O54" s="263">
        <v>23</v>
      </c>
      <c r="P54" s="263">
        <v>40</v>
      </c>
      <c r="Q54" s="263">
        <v>24</v>
      </c>
      <c r="R54" s="263">
        <v>46</v>
      </c>
      <c r="S54" s="289">
        <v>15</v>
      </c>
      <c r="T54" s="289">
        <v>33</v>
      </c>
      <c r="U54" s="289">
        <v>19.3</v>
      </c>
    </row>
    <row r="55" spans="1:37" ht="14.25" customHeight="1" x14ac:dyDescent="0.2">
      <c r="A55" s="167" t="s">
        <v>173</v>
      </c>
      <c r="B55" s="294">
        <v>17</v>
      </c>
      <c r="C55" s="294">
        <v>11</v>
      </c>
      <c r="D55" s="294">
        <v>14</v>
      </c>
      <c r="E55" s="294">
        <v>7</v>
      </c>
      <c r="F55" s="294">
        <v>12</v>
      </c>
      <c r="G55" s="294">
        <v>7</v>
      </c>
      <c r="H55" s="294">
        <v>14</v>
      </c>
      <c r="I55" s="294">
        <v>4.4000000000000004</v>
      </c>
      <c r="J55" s="294">
        <v>7</v>
      </c>
      <c r="K55" s="294">
        <v>3.4</v>
      </c>
      <c r="L55" s="294">
        <v>4</v>
      </c>
      <c r="M55" s="294">
        <v>2</v>
      </c>
      <c r="N55" s="294">
        <v>1</v>
      </c>
      <c r="O55" s="294">
        <v>0</v>
      </c>
      <c r="P55" s="263">
        <v>0</v>
      </c>
      <c r="Q55" s="263">
        <v>0</v>
      </c>
      <c r="R55" s="263">
        <v>0</v>
      </c>
      <c r="S55" s="289">
        <v>0</v>
      </c>
      <c r="T55" s="289">
        <v>0</v>
      </c>
      <c r="U55" s="289"/>
    </row>
    <row r="56" spans="1:37" ht="13.5" customHeight="1" x14ac:dyDescent="0.2">
      <c r="A56" s="292" t="s">
        <v>174</v>
      </c>
      <c r="B56" s="294">
        <v>17</v>
      </c>
      <c r="C56" s="86" t="s">
        <v>270</v>
      </c>
      <c r="D56" s="86">
        <v>14</v>
      </c>
      <c r="E56" s="86">
        <v>7</v>
      </c>
      <c r="F56" s="86">
        <v>12</v>
      </c>
      <c r="G56" s="86">
        <v>7</v>
      </c>
      <c r="H56" s="86">
        <v>14</v>
      </c>
      <c r="I56" s="86">
        <v>4.4000000000000004</v>
      </c>
      <c r="J56" s="86">
        <v>7</v>
      </c>
      <c r="K56" s="263">
        <v>1.7</v>
      </c>
      <c r="L56" s="263">
        <v>4</v>
      </c>
      <c r="M56" s="263">
        <v>1</v>
      </c>
      <c r="N56" s="263">
        <v>1</v>
      </c>
      <c r="O56" s="263">
        <v>0</v>
      </c>
      <c r="P56" s="263">
        <v>0</v>
      </c>
      <c r="Q56" s="263">
        <v>0</v>
      </c>
      <c r="R56" s="263">
        <v>0</v>
      </c>
      <c r="S56" s="289">
        <v>0</v>
      </c>
      <c r="T56" s="289">
        <v>0</v>
      </c>
      <c r="U56" s="289"/>
    </row>
    <row r="57" spans="1:37" ht="14.25" customHeight="1" x14ac:dyDescent="0.2">
      <c r="A57" s="292" t="s">
        <v>175</v>
      </c>
      <c r="B57" s="86" t="s">
        <v>270</v>
      </c>
      <c r="C57" s="86" t="s">
        <v>270</v>
      </c>
      <c r="D57" s="86">
        <v>0</v>
      </c>
      <c r="E57" s="86">
        <v>0</v>
      </c>
      <c r="F57" s="86">
        <v>0</v>
      </c>
      <c r="G57" s="86">
        <v>0</v>
      </c>
      <c r="H57" s="86">
        <v>0</v>
      </c>
      <c r="I57" s="86">
        <v>0</v>
      </c>
      <c r="J57" s="86">
        <v>2</v>
      </c>
      <c r="K57" s="263">
        <v>1.7</v>
      </c>
      <c r="L57" s="263">
        <v>4</v>
      </c>
      <c r="M57" s="263">
        <v>1</v>
      </c>
      <c r="N57" s="263">
        <v>1</v>
      </c>
      <c r="O57" s="263">
        <v>0</v>
      </c>
      <c r="P57" s="263">
        <v>0</v>
      </c>
      <c r="Q57" s="263">
        <v>0</v>
      </c>
      <c r="R57" s="263">
        <v>0</v>
      </c>
      <c r="S57" s="289">
        <v>0</v>
      </c>
      <c r="T57" s="289">
        <v>0</v>
      </c>
      <c r="U57" s="289"/>
    </row>
    <row r="58" spans="1:37" ht="13.5" customHeight="1" x14ac:dyDescent="0.2">
      <c r="A58" s="167" t="s">
        <v>488</v>
      </c>
      <c r="B58" s="86">
        <v>3</v>
      </c>
      <c r="C58" s="86" t="s">
        <v>270</v>
      </c>
      <c r="D58" s="86">
        <v>7</v>
      </c>
      <c r="E58" s="86">
        <v>4</v>
      </c>
      <c r="F58" s="86">
        <v>9</v>
      </c>
      <c r="G58" s="86">
        <v>5</v>
      </c>
      <c r="H58" s="86">
        <v>12</v>
      </c>
      <c r="I58" s="86">
        <v>7.6</v>
      </c>
      <c r="J58" s="86">
        <v>20</v>
      </c>
      <c r="K58" s="263">
        <v>10</v>
      </c>
      <c r="L58" s="263">
        <v>19</v>
      </c>
      <c r="M58" s="263">
        <v>10</v>
      </c>
      <c r="N58" s="263">
        <v>20</v>
      </c>
      <c r="O58" s="263">
        <v>9</v>
      </c>
      <c r="P58" s="263">
        <v>15</v>
      </c>
      <c r="Q58" s="263">
        <v>10</v>
      </c>
      <c r="R58" s="263">
        <v>20</v>
      </c>
      <c r="S58" s="289">
        <v>6</v>
      </c>
      <c r="T58" s="289">
        <v>13</v>
      </c>
      <c r="U58" s="289">
        <v>8</v>
      </c>
    </row>
    <row r="59" spans="1:37" ht="13.5" customHeight="1" x14ac:dyDescent="0.2">
      <c r="A59" s="626" t="s">
        <v>614</v>
      </c>
      <c r="B59" s="626"/>
      <c r="C59" s="626"/>
      <c r="D59" s="626"/>
      <c r="E59" s="626"/>
      <c r="F59" s="626"/>
      <c r="G59" s="626"/>
      <c r="H59" s="626"/>
      <c r="I59" s="626"/>
      <c r="J59" s="626"/>
      <c r="K59" s="626"/>
      <c r="L59" s="626"/>
      <c r="M59" s="626"/>
      <c r="N59" s="626"/>
      <c r="O59" s="626"/>
      <c r="P59" s="626"/>
      <c r="Q59" s="626"/>
      <c r="R59" s="626"/>
      <c r="S59" s="626"/>
      <c r="T59" s="626"/>
      <c r="U59" s="534"/>
    </row>
    <row r="60" spans="1:37" ht="13.5" customHeight="1" x14ac:dyDescent="0.2">
      <c r="A60" s="295" t="s">
        <v>176</v>
      </c>
      <c r="B60" s="173">
        <v>279889</v>
      </c>
      <c r="C60" s="173">
        <v>145410</v>
      </c>
      <c r="D60" s="173">
        <v>295840</v>
      </c>
      <c r="E60" s="173">
        <v>135672</v>
      </c>
      <c r="F60" s="297">
        <v>295098</v>
      </c>
      <c r="G60" s="182">
        <v>145463</v>
      </c>
      <c r="H60" s="182">
        <v>300340</v>
      </c>
      <c r="I60" s="182">
        <v>139385</v>
      </c>
      <c r="J60" s="182">
        <v>285292</v>
      </c>
      <c r="K60" s="296">
        <v>128704</v>
      </c>
      <c r="L60" s="296">
        <v>274248</v>
      </c>
      <c r="M60" s="296">
        <v>131290</v>
      </c>
      <c r="N60" s="297">
        <v>266406</v>
      </c>
      <c r="O60" s="297">
        <v>121574</v>
      </c>
      <c r="P60" s="297">
        <v>235749</v>
      </c>
      <c r="Q60" s="297">
        <v>102905</v>
      </c>
      <c r="R60" s="297">
        <v>217112</v>
      </c>
      <c r="S60" s="297">
        <f t="shared" ref="S60:U60" si="0">S3+S32</f>
        <v>103523</v>
      </c>
      <c r="T60" s="297">
        <v>218770</v>
      </c>
      <c r="U60" s="297">
        <f t="shared" si="0"/>
        <v>109681.572</v>
      </c>
      <c r="V60" s="376"/>
      <c r="W60" s="376"/>
      <c r="X60" s="376"/>
      <c r="Y60" s="376"/>
      <c r="Z60" s="376"/>
      <c r="AA60" s="376"/>
      <c r="AB60" s="376"/>
      <c r="AC60" s="376"/>
      <c r="AD60" s="376"/>
      <c r="AE60" s="376"/>
      <c r="AF60" s="376"/>
      <c r="AG60" s="376"/>
      <c r="AH60" s="376"/>
      <c r="AI60" s="376"/>
      <c r="AK60" s="376"/>
    </row>
    <row r="61" spans="1:37" ht="13.5" customHeight="1" x14ac:dyDescent="0.2">
      <c r="A61" s="290" t="s">
        <v>157</v>
      </c>
      <c r="B61" s="86">
        <v>232813</v>
      </c>
      <c r="C61" s="86" t="s">
        <v>270</v>
      </c>
      <c r="D61" s="86">
        <v>235518</v>
      </c>
      <c r="E61" s="86" t="s">
        <v>270</v>
      </c>
      <c r="F61" s="86">
        <v>234906</v>
      </c>
      <c r="G61" s="86" t="s">
        <v>270</v>
      </c>
      <c r="H61" s="263">
        <v>223153</v>
      </c>
      <c r="I61" s="263" t="s">
        <v>270</v>
      </c>
      <c r="J61" s="263">
        <v>219273</v>
      </c>
      <c r="K61" s="263">
        <v>107165</v>
      </c>
      <c r="L61" s="263">
        <v>223224</v>
      </c>
      <c r="M61" s="263">
        <v>106694</v>
      </c>
      <c r="N61" s="263">
        <v>220675</v>
      </c>
      <c r="O61" s="263">
        <v>98772</v>
      </c>
      <c r="P61" s="263">
        <v>196809</v>
      </c>
      <c r="Q61" s="263">
        <v>97847</v>
      </c>
      <c r="R61" s="263">
        <v>210131</v>
      </c>
      <c r="S61" s="377">
        <f>S6+S33</f>
        <v>102361</v>
      </c>
      <c r="T61" s="377">
        <v>216856</v>
      </c>
      <c r="U61" s="377">
        <f>U7+U8+U33</f>
        <v>107741.098</v>
      </c>
      <c r="V61" s="377"/>
      <c r="W61" s="377"/>
      <c r="X61" s="377"/>
      <c r="Y61" s="377"/>
      <c r="Z61" s="377"/>
      <c r="AA61" s="377"/>
      <c r="AB61" s="377"/>
      <c r="AC61" s="377"/>
      <c r="AD61" s="377"/>
      <c r="AE61" s="377"/>
      <c r="AF61" s="377"/>
      <c r="AG61" s="377"/>
      <c r="AH61" s="377"/>
      <c r="AI61" s="377"/>
      <c r="AK61" s="377"/>
    </row>
    <row r="62" spans="1:37" ht="13.5" customHeight="1" x14ac:dyDescent="0.25">
      <c r="A62" s="295" t="s">
        <v>159</v>
      </c>
      <c r="B62" s="177">
        <v>400778</v>
      </c>
      <c r="C62" s="177">
        <v>199125</v>
      </c>
      <c r="D62" s="177">
        <v>388027</v>
      </c>
      <c r="E62" s="177">
        <v>184430</v>
      </c>
      <c r="F62" s="299">
        <v>377944</v>
      </c>
      <c r="G62" s="184">
        <v>178242</v>
      </c>
      <c r="H62" s="184">
        <v>363764</v>
      </c>
      <c r="I62" s="184">
        <v>185622</v>
      </c>
      <c r="J62" s="184">
        <v>371063</v>
      </c>
      <c r="K62" s="298">
        <v>183845</v>
      </c>
      <c r="L62" s="298">
        <v>368008</v>
      </c>
      <c r="M62" s="298">
        <v>182095</v>
      </c>
      <c r="N62" s="299">
        <v>369426</v>
      </c>
      <c r="O62" s="299">
        <v>177475</v>
      </c>
      <c r="P62" s="299">
        <v>360217</v>
      </c>
      <c r="Q62" s="380">
        <f>Q10+Q34</f>
        <v>194923</v>
      </c>
      <c r="R62" s="299">
        <v>401081</v>
      </c>
      <c r="S62" s="299">
        <f>S10+S28+S34</f>
        <v>229569</v>
      </c>
      <c r="T62" s="299">
        <v>473654</v>
      </c>
      <c r="U62" s="299">
        <f>U10+U28+U34</f>
        <v>251303.758</v>
      </c>
      <c r="V62" s="288"/>
      <c r="W62" s="288"/>
      <c r="X62" s="288"/>
      <c r="Y62" s="288"/>
      <c r="Z62" s="288"/>
      <c r="AA62" s="288"/>
      <c r="AB62" s="288"/>
      <c r="AC62" s="288"/>
      <c r="AD62" s="288"/>
      <c r="AE62" s="288"/>
      <c r="AF62" s="288"/>
      <c r="AG62" s="288"/>
      <c r="AH62" s="288"/>
      <c r="AI62" s="288"/>
      <c r="AK62" s="288"/>
    </row>
    <row r="63" spans="1:37" ht="13.5" customHeight="1" x14ac:dyDescent="0.2">
      <c r="A63" s="290" t="s">
        <v>157</v>
      </c>
      <c r="B63" s="86">
        <v>382443</v>
      </c>
      <c r="C63" s="86" t="s">
        <v>270</v>
      </c>
      <c r="D63" s="86">
        <v>365698</v>
      </c>
      <c r="E63" s="86" t="s">
        <v>270</v>
      </c>
      <c r="F63" s="86">
        <v>362854</v>
      </c>
      <c r="G63" s="86" t="s">
        <v>270</v>
      </c>
      <c r="H63" s="86">
        <v>344226</v>
      </c>
      <c r="I63" s="86" t="s">
        <v>270</v>
      </c>
      <c r="J63" s="86">
        <v>345737</v>
      </c>
      <c r="K63" s="86">
        <v>173553</v>
      </c>
      <c r="L63" s="86">
        <v>345897</v>
      </c>
      <c r="M63" s="86">
        <v>174470</v>
      </c>
      <c r="N63" s="86">
        <v>352766</v>
      </c>
      <c r="O63" s="86">
        <v>171573</v>
      </c>
      <c r="P63" s="86">
        <v>344482</v>
      </c>
      <c r="Q63" s="86">
        <v>191765</v>
      </c>
      <c r="R63" s="86">
        <v>397774</v>
      </c>
      <c r="S63" s="394">
        <f>S11+S13+S28+S35</f>
        <v>229467</v>
      </c>
      <c r="T63" s="86">
        <v>473515</v>
      </c>
      <c r="U63" s="394">
        <f>U11+U14+U15+U28+U35</f>
        <v>251099.91907906145</v>
      </c>
      <c r="V63" s="377"/>
      <c r="W63" s="377"/>
      <c r="X63" s="377"/>
      <c r="Y63" s="377"/>
      <c r="Z63" s="377"/>
      <c r="AA63" s="377"/>
      <c r="AB63" s="377"/>
      <c r="AC63" s="377"/>
      <c r="AD63" s="377"/>
      <c r="AE63" s="377"/>
      <c r="AF63" s="377"/>
      <c r="AG63" s="377"/>
      <c r="AH63" s="377"/>
      <c r="AI63" s="377"/>
    </row>
    <row r="64" spans="1:37" ht="13.5" customHeight="1" x14ac:dyDescent="0.2">
      <c r="A64" s="295" t="s">
        <v>160</v>
      </c>
      <c r="B64" s="177">
        <v>2794</v>
      </c>
      <c r="C64" s="177">
        <v>1494</v>
      </c>
      <c r="D64" s="299">
        <v>2855</v>
      </c>
      <c r="E64" s="177">
        <v>1425</v>
      </c>
      <c r="F64" s="299">
        <v>2806</v>
      </c>
      <c r="G64" s="184">
        <v>1378</v>
      </c>
      <c r="H64" s="184">
        <v>2732</v>
      </c>
      <c r="I64" s="184">
        <v>1345</v>
      </c>
      <c r="J64" s="299">
        <v>2662</v>
      </c>
      <c r="K64" s="298">
        <v>1338</v>
      </c>
      <c r="L64" s="298">
        <v>2752</v>
      </c>
      <c r="M64" s="298">
        <v>1359</v>
      </c>
      <c r="N64" s="299">
        <v>2689</v>
      </c>
      <c r="O64" s="299">
        <v>1331</v>
      </c>
      <c r="P64" s="299">
        <v>2618</v>
      </c>
      <c r="Q64" s="299">
        <v>1334</v>
      </c>
      <c r="R64" s="299">
        <v>2780</v>
      </c>
      <c r="S64" s="299">
        <f>S17+S36</f>
        <v>1395</v>
      </c>
      <c r="T64" s="299">
        <v>2729</v>
      </c>
      <c r="U64" s="299">
        <f>U17+U36</f>
        <v>1533.3999999999999</v>
      </c>
    </row>
    <row r="65" spans="1:21" ht="13.5" customHeight="1" x14ac:dyDescent="0.2">
      <c r="A65" s="290" t="s">
        <v>157</v>
      </c>
      <c r="B65" s="86">
        <v>2676</v>
      </c>
      <c r="C65" s="86" t="s">
        <v>270</v>
      </c>
      <c r="D65" s="86">
        <v>2723</v>
      </c>
      <c r="E65" s="86" t="s">
        <v>270</v>
      </c>
      <c r="F65" s="86">
        <v>2704</v>
      </c>
      <c r="G65" s="86" t="s">
        <v>270</v>
      </c>
      <c r="H65" s="263">
        <v>2624</v>
      </c>
      <c r="I65" s="263" t="s">
        <v>270</v>
      </c>
      <c r="J65" s="263">
        <v>2529</v>
      </c>
      <c r="K65" s="263">
        <v>1261</v>
      </c>
      <c r="L65" s="263">
        <v>2582</v>
      </c>
      <c r="M65" s="263">
        <v>1292</v>
      </c>
      <c r="N65" s="263">
        <v>2575</v>
      </c>
      <c r="O65" s="263">
        <v>1303</v>
      </c>
      <c r="P65" s="263">
        <v>2526</v>
      </c>
      <c r="Q65" s="263">
        <v>1280</v>
      </c>
      <c r="R65" s="263">
        <v>2728</v>
      </c>
      <c r="S65" s="288">
        <f>S18+S20+S37</f>
        <v>1395</v>
      </c>
      <c r="T65" s="284">
        <v>2729</v>
      </c>
      <c r="U65" s="288">
        <f>U18+U20+U37</f>
        <v>1531.3</v>
      </c>
    </row>
    <row r="66" spans="1:21" ht="13.5" customHeight="1" x14ac:dyDescent="0.2">
      <c r="A66" s="295" t="s">
        <v>161</v>
      </c>
      <c r="B66" s="177">
        <v>658</v>
      </c>
      <c r="C66" s="177">
        <v>358</v>
      </c>
      <c r="D66" s="177">
        <v>692</v>
      </c>
      <c r="E66" s="177">
        <v>360</v>
      </c>
      <c r="F66" s="299">
        <v>696</v>
      </c>
      <c r="G66" s="184">
        <v>352</v>
      </c>
      <c r="H66" s="184">
        <v>683</v>
      </c>
      <c r="I66" s="184">
        <v>330</v>
      </c>
      <c r="J66" s="184">
        <v>650</v>
      </c>
      <c r="K66" s="298">
        <v>324</v>
      </c>
      <c r="L66" s="298">
        <v>662</v>
      </c>
      <c r="M66" s="298">
        <v>339</v>
      </c>
      <c r="N66" s="299">
        <v>656</v>
      </c>
      <c r="O66" s="299">
        <v>334</v>
      </c>
      <c r="P66" s="299">
        <v>644</v>
      </c>
      <c r="Q66" s="299">
        <v>320</v>
      </c>
      <c r="R66" s="299">
        <v>670</v>
      </c>
      <c r="S66" s="299">
        <f>S22+S38</f>
        <v>335</v>
      </c>
      <c r="T66" s="299">
        <v>653</v>
      </c>
      <c r="U66" s="299">
        <f>U22+U38</f>
        <v>388.29999999999995</v>
      </c>
    </row>
    <row r="67" spans="1:21" ht="13.5" customHeight="1" x14ac:dyDescent="0.2">
      <c r="A67" s="300" t="s">
        <v>157</v>
      </c>
      <c r="B67" s="175">
        <v>636</v>
      </c>
      <c r="C67" s="175" t="s">
        <v>270</v>
      </c>
      <c r="D67" s="175">
        <v>663</v>
      </c>
      <c r="E67" s="175" t="s">
        <v>270</v>
      </c>
      <c r="F67" s="175">
        <v>672</v>
      </c>
      <c r="G67" s="175" t="s">
        <v>270</v>
      </c>
      <c r="H67" s="175">
        <v>658</v>
      </c>
      <c r="I67" s="175" t="s">
        <v>270</v>
      </c>
      <c r="J67" s="175">
        <v>604</v>
      </c>
      <c r="K67" s="175">
        <v>293</v>
      </c>
      <c r="L67" s="175">
        <v>595</v>
      </c>
      <c r="M67" s="175">
        <v>314</v>
      </c>
      <c r="N67" s="175">
        <v>610</v>
      </c>
      <c r="O67" s="175">
        <v>323</v>
      </c>
      <c r="P67" s="175">
        <v>610</v>
      </c>
      <c r="Q67" s="175">
        <v>301</v>
      </c>
      <c r="R67" s="175">
        <v>650</v>
      </c>
      <c r="S67" s="175">
        <f>S23+S25+S39</f>
        <v>335</v>
      </c>
      <c r="T67" s="175">
        <v>653</v>
      </c>
      <c r="U67" s="175">
        <f>U23+U25+U39</f>
        <v>386.7</v>
      </c>
    </row>
    <row r="68" spans="1:21" ht="13.5" customHeight="1" x14ac:dyDescent="0.2">
      <c r="A68" s="62"/>
      <c r="B68" s="373"/>
      <c r="C68" s="83"/>
      <c r="D68" s="373"/>
      <c r="E68" s="86"/>
      <c r="F68" s="373"/>
      <c r="G68" s="83"/>
      <c r="H68" s="373"/>
      <c r="I68" s="373"/>
      <c r="J68" s="83"/>
      <c r="K68" s="373"/>
      <c r="L68" s="373"/>
      <c r="M68" s="373"/>
      <c r="N68" s="373"/>
      <c r="O68" s="373"/>
      <c r="P68" s="373"/>
      <c r="Q68" s="373"/>
      <c r="R68" s="373"/>
    </row>
    <row r="69" spans="1:21" ht="13.5" customHeight="1" x14ac:dyDescent="0.2">
      <c r="A69" s="284"/>
      <c r="B69" s="83"/>
      <c r="C69" s="83"/>
      <c r="D69" s="83"/>
      <c r="E69" s="86"/>
      <c r="F69" s="83"/>
      <c r="G69" s="83"/>
      <c r="H69" s="83"/>
      <c r="I69" s="83"/>
      <c r="J69" s="83"/>
      <c r="K69" s="272"/>
      <c r="L69" s="272"/>
      <c r="M69" s="272"/>
      <c r="N69" s="272"/>
      <c r="O69" s="272"/>
      <c r="P69" s="285"/>
      <c r="Q69" s="285"/>
      <c r="R69" s="285"/>
    </row>
    <row r="70" spans="1:21" x14ac:dyDescent="0.2">
      <c r="A70" s="281" t="s">
        <v>56</v>
      </c>
      <c r="B70" s="301"/>
      <c r="C70" s="301"/>
      <c r="D70" s="301"/>
      <c r="E70" s="301"/>
      <c r="F70" s="301"/>
      <c r="G70" s="301"/>
      <c r="H70" s="301"/>
      <c r="I70" s="301"/>
      <c r="J70" s="373"/>
      <c r="K70" s="301"/>
      <c r="L70" s="301"/>
      <c r="M70" s="301"/>
      <c r="N70" s="301"/>
      <c r="O70" s="301"/>
      <c r="P70" s="285"/>
      <c r="Q70" s="303"/>
      <c r="R70" s="303"/>
      <c r="S70" s="303"/>
      <c r="T70" s="303"/>
      <c r="U70" s="303"/>
    </row>
    <row r="71" spans="1:21" s="303" customFormat="1" ht="15" x14ac:dyDescent="0.25">
      <c r="A71" s="282" t="s">
        <v>392</v>
      </c>
      <c r="B71" s="302"/>
      <c r="C71" s="302"/>
      <c r="D71" s="302"/>
      <c r="E71" s="302"/>
      <c r="F71" s="302"/>
      <c r="G71" s="302"/>
      <c r="H71" s="302"/>
      <c r="I71" s="302"/>
      <c r="J71" s="302"/>
      <c r="K71" s="302"/>
      <c r="L71" s="302"/>
      <c r="M71" s="302"/>
      <c r="N71" s="302"/>
      <c r="O71" s="302"/>
    </row>
    <row r="72" spans="1:21" s="303" customFormat="1" ht="14.25" x14ac:dyDescent="0.25">
      <c r="A72" s="282" t="s">
        <v>393</v>
      </c>
      <c r="B72" s="302"/>
      <c r="C72" s="302"/>
      <c r="D72" s="302"/>
      <c r="E72" s="302"/>
      <c r="F72" s="302"/>
      <c r="G72" s="302"/>
      <c r="H72" s="302"/>
      <c r="I72" s="302"/>
      <c r="J72" s="302"/>
      <c r="K72" s="302"/>
      <c r="L72" s="302"/>
      <c r="M72" s="302"/>
      <c r="N72" s="302"/>
      <c r="O72" s="302"/>
    </row>
    <row r="73" spans="1:21" s="304" customFormat="1" ht="39.75" x14ac:dyDescent="0.25">
      <c r="A73" s="283" t="s">
        <v>394</v>
      </c>
    </row>
    <row r="74" spans="1:21" s="302" customFormat="1" ht="14.25" x14ac:dyDescent="0.25">
      <c r="A74" s="282" t="s">
        <v>395</v>
      </c>
    </row>
    <row r="75" spans="1:21" s="304" customFormat="1" ht="27" x14ac:dyDescent="0.25">
      <c r="A75" s="283" t="s">
        <v>396</v>
      </c>
    </row>
    <row r="76" spans="1:21" s="302" customFormat="1" ht="14.25" x14ac:dyDescent="0.25">
      <c r="A76" s="282" t="s">
        <v>397</v>
      </c>
    </row>
    <row r="77" spans="1:21" s="302" customFormat="1" ht="14.25" x14ac:dyDescent="0.25">
      <c r="A77" s="282" t="s">
        <v>484</v>
      </c>
    </row>
  </sheetData>
  <customSheetViews>
    <customSheetView guid="{0879B2E0-1447-4BF4-B278-DFA3BD4BF3E7}" showPageBreaks="1" fitToPage="1" printArea="1" view="pageBreakPreview" topLeftCell="A25">
      <selection activeCell="B10" sqref="B10"/>
      <pageMargins left="0.7" right="0.7" top="0.75" bottom="0.75" header="0.3" footer="0.3"/>
      <pageSetup paperSize="9" scale="49" orientation="landscape" r:id="rId1"/>
    </customSheetView>
  </customSheetViews>
  <mergeCells count="6">
    <mergeCell ref="A2:U2"/>
    <mergeCell ref="A31:U31"/>
    <mergeCell ref="A40:U40"/>
    <mergeCell ref="A42:U42"/>
    <mergeCell ref="A59:T59"/>
    <mergeCell ref="A27:T27"/>
  </mergeCells>
  <hyperlinks>
    <hyperlink ref="V1" location="MENU!A1" display="MENU"/>
  </hyperlinks>
  <pageMargins left="0.7" right="0.7" top="0.75" bottom="0.75" header="0.3" footer="0.3"/>
  <pageSetup paperSize="9" scale="45" orientation="landscape" r:id="rId2"/>
  <customProperties>
    <customPr name="_pios_id" r:id="rId3"/>
    <customPr name="CofWorksheetType" r:id="rId4"/>
    <customPr name="EpmWorksheetKeyString_GUID" r:id="rId5"/>
  </customProperties>
  <drawing r:id="rId6"/>
  <legacyDrawing r:id="rId7"/>
  <legacyDrawingHF r:id="rId8"/>
  <controls>
    <mc:AlternateContent xmlns:mc="http://schemas.openxmlformats.org/markup-compatibility/2006">
      <mc:Choice Requires="x14">
        <control shapeId="546817" r:id="rId9" name="FPMExcelClientSheetOptionstb1">
          <controlPr defaultSize="0" autoLine="0" r:id="rId10">
            <anchor moveWithCells="1" sizeWithCells="1">
              <from>
                <xdr:col>0</xdr:col>
                <xdr:colOff>0</xdr:colOff>
                <xdr:row>0</xdr:row>
                <xdr:rowOff>0</xdr:rowOff>
              </from>
              <to>
                <xdr:col>0</xdr:col>
                <xdr:colOff>0</xdr:colOff>
                <xdr:row>0</xdr:row>
                <xdr:rowOff>0</xdr:rowOff>
              </to>
            </anchor>
          </controlPr>
        </control>
      </mc:Choice>
      <mc:Fallback>
        <control shapeId="546817" r:id="rId9"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81BF"/>
  </sheetPr>
  <dimension ref="A1:Y72"/>
  <sheetViews>
    <sheetView view="pageBreakPreview" zoomScale="70" zoomScaleNormal="100" zoomScaleSheetLayoutView="70" workbookViewId="0">
      <pane xSplit="1" ySplit="1" topLeftCell="B9" activePane="bottomRight" state="frozen"/>
      <selection activeCell="B30" sqref="B30"/>
      <selection pane="topRight" activeCell="B30" sqref="B30"/>
      <selection pane="bottomLeft" activeCell="B30" sqref="B30"/>
      <selection pane="bottomRight" activeCell="A72" sqref="A72:L72"/>
    </sheetView>
  </sheetViews>
  <sheetFormatPr defaultRowHeight="15" x14ac:dyDescent="0.25"/>
  <cols>
    <col min="1" max="1" width="55" customWidth="1"/>
    <col min="2" max="13" width="11.28515625" bestFit="1" customWidth="1"/>
  </cols>
  <sheetData>
    <row r="1" spans="1:14" s="22" customFormat="1" ht="24.75" customHeight="1" thickBot="1" x14ac:dyDescent="0.25">
      <c r="A1" s="450" t="s">
        <v>491</v>
      </c>
      <c r="B1" s="450">
        <v>2007</v>
      </c>
      <c r="C1" s="450">
        <v>2008</v>
      </c>
      <c r="D1" s="450">
        <v>2009</v>
      </c>
      <c r="E1" s="450">
        <v>2010</v>
      </c>
      <c r="F1" s="450">
        <v>2011</v>
      </c>
      <c r="G1" s="450">
        <v>2012</v>
      </c>
      <c r="H1" s="450">
        <v>2013</v>
      </c>
      <c r="I1" s="450">
        <v>2014</v>
      </c>
      <c r="J1" s="450">
        <v>2015</v>
      </c>
      <c r="K1" s="450">
        <v>2016</v>
      </c>
      <c r="L1" s="450">
        <v>2017</v>
      </c>
      <c r="M1" s="450">
        <v>2018</v>
      </c>
      <c r="N1" s="107" t="s">
        <v>215</v>
      </c>
    </row>
    <row r="2" spans="1:14" s="52" customFormat="1" thickBot="1" x14ac:dyDescent="0.25">
      <c r="A2" s="451" t="s">
        <v>492</v>
      </c>
      <c r="B2" s="452">
        <f t="shared" ref="B2:L2" si="0">B3+B4+B5</f>
        <v>22673</v>
      </c>
      <c r="C2" s="452">
        <f t="shared" si="0"/>
        <v>23182.743000000002</v>
      </c>
      <c r="D2" s="452">
        <f t="shared" si="0"/>
        <v>23190.149000000001</v>
      </c>
      <c r="E2" s="452">
        <f t="shared" si="0"/>
        <v>24454.353999999999</v>
      </c>
      <c r="F2" s="452">
        <f t="shared" si="0"/>
        <v>24736.28</v>
      </c>
      <c r="G2" s="452">
        <f t="shared" si="0"/>
        <v>24624.466</v>
      </c>
      <c r="H2" s="452">
        <f t="shared" si="0"/>
        <v>24779.743000000002</v>
      </c>
      <c r="I2" s="452">
        <f t="shared" si="0"/>
        <v>25182.71</v>
      </c>
      <c r="J2" s="452">
        <f t="shared" si="0"/>
        <v>25289.794999999998</v>
      </c>
      <c r="K2" s="452">
        <f t="shared" si="0"/>
        <v>24859.728000000003</v>
      </c>
      <c r="L2" s="452">
        <f t="shared" si="0"/>
        <v>25020.508000000002</v>
      </c>
      <c r="M2" s="452">
        <f>M3+M4+M5</f>
        <v>25223.393</v>
      </c>
    </row>
    <row r="3" spans="1:14" s="52" customFormat="1" ht="13.5" thickTop="1" x14ac:dyDescent="0.2">
      <c r="A3" s="70" t="s">
        <v>493</v>
      </c>
      <c r="B3" s="453">
        <f>B10</f>
        <v>7006</v>
      </c>
      <c r="C3" s="453">
        <f t="shared" ref="C3:L4" si="1">C10</f>
        <v>7135.4070000000002</v>
      </c>
      <c r="D3" s="453">
        <f t="shared" si="1"/>
        <v>7003.6959999999999</v>
      </c>
      <c r="E3" s="453">
        <f t="shared" si="1"/>
        <v>6957.25</v>
      </c>
      <c r="F3" s="453">
        <f t="shared" si="1"/>
        <v>6797.826</v>
      </c>
      <c r="G3" s="453">
        <f t="shared" si="1"/>
        <v>6529.8119999999999</v>
      </c>
      <c r="H3" s="453">
        <f t="shared" si="1"/>
        <v>6542.9920000000002</v>
      </c>
      <c r="I3" s="453">
        <f t="shared" si="1"/>
        <v>6547.8649999999998</v>
      </c>
      <c r="J3" s="453">
        <f t="shared" si="1"/>
        <v>6541.5410000000002</v>
      </c>
      <c r="K3" s="453">
        <f t="shared" si="1"/>
        <v>6191.831000000001</v>
      </c>
      <c r="L3" s="453">
        <f t="shared" si="1"/>
        <v>6593.2080000000005</v>
      </c>
      <c r="M3" s="453">
        <f>M10</f>
        <v>6755.98</v>
      </c>
    </row>
    <row r="4" spans="1:14" s="52" customFormat="1" ht="12.75" x14ac:dyDescent="0.2">
      <c r="A4" s="70" t="s">
        <v>494</v>
      </c>
      <c r="B4" s="453">
        <f>B11</f>
        <v>4446</v>
      </c>
      <c r="C4" s="453">
        <f t="shared" si="1"/>
        <v>4854.7510000000002</v>
      </c>
      <c r="D4" s="453">
        <f t="shared" si="1"/>
        <v>5236.3950000000004</v>
      </c>
      <c r="E4" s="453">
        <f t="shared" si="1"/>
        <v>4734.268</v>
      </c>
      <c r="F4" s="453">
        <f t="shared" si="1"/>
        <v>5001.25</v>
      </c>
      <c r="G4" s="453">
        <f t="shared" si="1"/>
        <v>4997.3999999999996</v>
      </c>
      <c r="H4" s="453">
        <f t="shared" si="1"/>
        <v>5422.52</v>
      </c>
      <c r="I4" s="453">
        <f t="shared" si="1"/>
        <v>5422.4949999999999</v>
      </c>
      <c r="J4" s="453">
        <f t="shared" si="1"/>
        <v>5403.7549999999992</v>
      </c>
      <c r="K4" s="453">
        <f t="shared" si="1"/>
        <v>7080.6270000000004</v>
      </c>
      <c r="L4" s="453">
        <f t="shared" si="1"/>
        <v>7165.5</v>
      </c>
      <c r="M4" s="453">
        <f>M11</f>
        <v>6791.8209999999999</v>
      </c>
    </row>
    <row r="5" spans="1:14" s="52" customFormat="1" ht="12.75" x14ac:dyDescent="0.2">
      <c r="A5" s="70" t="s">
        <v>495</v>
      </c>
      <c r="B5" s="453">
        <f t="shared" ref="B5:M5" si="2">B12+B34</f>
        <v>11221</v>
      </c>
      <c r="C5" s="453">
        <f t="shared" si="2"/>
        <v>11192.585000000001</v>
      </c>
      <c r="D5" s="453">
        <f t="shared" si="2"/>
        <v>10950.058000000001</v>
      </c>
      <c r="E5" s="453">
        <f t="shared" si="2"/>
        <v>12762.835999999999</v>
      </c>
      <c r="F5" s="453">
        <f t="shared" si="2"/>
        <v>12937.204</v>
      </c>
      <c r="G5" s="453">
        <f t="shared" si="2"/>
        <v>13097.254000000001</v>
      </c>
      <c r="H5" s="453">
        <f t="shared" si="2"/>
        <v>12814.231</v>
      </c>
      <c r="I5" s="453">
        <f t="shared" si="2"/>
        <v>13212.349999999999</v>
      </c>
      <c r="J5" s="453">
        <f t="shared" si="2"/>
        <v>13344.499</v>
      </c>
      <c r="K5" s="453">
        <f t="shared" si="2"/>
        <v>11587.27</v>
      </c>
      <c r="L5" s="453">
        <f t="shared" si="2"/>
        <v>11261.8</v>
      </c>
      <c r="M5" s="453">
        <f t="shared" si="2"/>
        <v>11675.592000000001</v>
      </c>
    </row>
    <row r="6" spans="1:14" s="52" customFormat="1" ht="6" customHeight="1" x14ac:dyDescent="0.2">
      <c r="A6" s="70"/>
      <c r="B6" s="453"/>
      <c r="C6" s="453"/>
      <c r="D6" s="453"/>
      <c r="E6" s="453"/>
      <c r="F6" s="453"/>
      <c r="G6" s="453"/>
      <c r="H6" s="453"/>
      <c r="I6" s="453"/>
      <c r="J6" s="453"/>
      <c r="K6" s="453"/>
      <c r="L6" s="453"/>
      <c r="M6" s="453"/>
    </row>
    <row r="7" spans="1:14" s="195" customFormat="1" ht="13.5" thickBot="1" x14ac:dyDescent="0.25">
      <c r="A7" s="529" t="s">
        <v>496</v>
      </c>
      <c r="B7" s="530"/>
      <c r="C7" s="530"/>
      <c r="D7" s="530"/>
      <c r="E7" s="530"/>
      <c r="F7" s="530"/>
      <c r="G7" s="530"/>
      <c r="H7" s="530"/>
      <c r="I7" s="530"/>
      <c r="J7" s="530"/>
      <c r="K7" s="530"/>
      <c r="L7" s="530"/>
      <c r="M7" s="530">
        <f>M43</f>
        <v>7862.9929999999995</v>
      </c>
    </row>
    <row r="8" spans="1:14" s="52" customFormat="1" ht="21.75" customHeight="1" thickTop="1" thickBot="1" x14ac:dyDescent="0.25">
      <c r="A8" s="455" t="s">
        <v>497</v>
      </c>
      <c r="B8" s="456"/>
      <c r="C8" s="456"/>
      <c r="D8" s="456"/>
      <c r="E8" s="456"/>
      <c r="F8" s="456"/>
      <c r="G8" s="456"/>
      <c r="H8" s="456"/>
      <c r="I8" s="456"/>
      <c r="J8" s="456"/>
      <c r="K8" s="456"/>
      <c r="L8" s="456"/>
      <c r="M8" s="456"/>
    </row>
    <row r="9" spans="1:14" s="68" customFormat="1" ht="13.5" thickTop="1" x14ac:dyDescent="0.2">
      <c r="A9" s="457" t="s">
        <v>498</v>
      </c>
      <c r="B9" s="458">
        <f t="shared" ref="B9:L9" si="3">B10+B11+B12</f>
        <v>15037</v>
      </c>
      <c r="C9" s="458">
        <f t="shared" si="3"/>
        <v>15033.499</v>
      </c>
      <c r="D9" s="458">
        <f t="shared" si="3"/>
        <v>15297.868</v>
      </c>
      <c r="E9" s="458">
        <f t="shared" si="3"/>
        <v>16118.452000000001</v>
      </c>
      <c r="F9" s="458">
        <f t="shared" si="3"/>
        <v>16589.218000000001</v>
      </c>
      <c r="G9" s="458">
        <f t="shared" si="3"/>
        <v>16676.457999999999</v>
      </c>
      <c r="H9" s="458">
        <f t="shared" si="3"/>
        <v>16738.579000000002</v>
      </c>
      <c r="I9" s="458">
        <f t="shared" si="3"/>
        <v>17044.442999999999</v>
      </c>
      <c r="J9" s="458">
        <f t="shared" si="3"/>
        <v>17327.568999999996</v>
      </c>
      <c r="K9" s="458">
        <f t="shared" si="3"/>
        <v>17244.210000000003</v>
      </c>
      <c r="L9" s="458">
        <f t="shared" si="3"/>
        <v>17377.284</v>
      </c>
      <c r="M9" s="458">
        <f>M10+M11+M12</f>
        <v>17323.960999999999</v>
      </c>
      <c r="N9" s="459"/>
    </row>
    <row r="10" spans="1:14" s="231" customFormat="1" ht="12.75" x14ac:dyDescent="0.2">
      <c r="A10" s="151" t="s">
        <v>493</v>
      </c>
      <c r="B10" s="460">
        <f t="shared" ref="B10:L10" si="4">(B15+B19+B22+B28)</f>
        <v>7006</v>
      </c>
      <c r="C10" s="460">
        <f t="shared" si="4"/>
        <v>7135.4070000000002</v>
      </c>
      <c r="D10" s="460">
        <f t="shared" si="4"/>
        <v>7003.6959999999999</v>
      </c>
      <c r="E10" s="460">
        <f t="shared" si="4"/>
        <v>6957.25</v>
      </c>
      <c r="F10" s="460">
        <f t="shared" si="4"/>
        <v>6797.826</v>
      </c>
      <c r="G10" s="460">
        <f t="shared" si="4"/>
        <v>6529.8119999999999</v>
      </c>
      <c r="H10" s="460">
        <f t="shared" si="4"/>
        <v>6542.9920000000002</v>
      </c>
      <c r="I10" s="460">
        <f t="shared" si="4"/>
        <v>6547.8649999999998</v>
      </c>
      <c r="J10" s="460">
        <f t="shared" si="4"/>
        <v>6541.5410000000002</v>
      </c>
      <c r="K10" s="460">
        <f t="shared" si="4"/>
        <v>6191.831000000001</v>
      </c>
      <c r="L10" s="460">
        <f t="shared" si="4"/>
        <v>6593.2080000000005</v>
      </c>
      <c r="M10" s="460">
        <f>(M15+M19+M22+M28+M26)</f>
        <v>6755.98</v>
      </c>
    </row>
    <row r="11" spans="1:14" s="231" customFormat="1" ht="12.75" x14ac:dyDescent="0.2">
      <c r="A11" s="151" t="s">
        <v>494</v>
      </c>
      <c r="B11" s="460">
        <f>(B16+B23)</f>
        <v>4446</v>
      </c>
      <c r="C11" s="460">
        <f t="shared" ref="C11:L11" si="5">(C16+C23)</f>
        <v>4854.7510000000002</v>
      </c>
      <c r="D11" s="460">
        <f t="shared" si="5"/>
        <v>5236.3950000000004</v>
      </c>
      <c r="E11" s="460">
        <f t="shared" si="5"/>
        <v>4734.268</v>
      </c>
      <c r="F11" s="460">
        <f t="shared" si="5"/>
        <v>5001.25</v>
      </c>
      <c r="G11" s="460">
        <f t="shared" si="5"/>
        <v>4997.3999999999996</v>
      </c>
      <c r="H11" s="460">
        <f t="shared" si="5"/>
        <v>5422.52</v>
      </c>
      <c r="I11" s="460">
        <f t="shared" si="5"/>
        <v>5422.4949999999999</v>
      </c>
      <c r="J11" s="460">
        <f t="shared" si="5"/>
        <v>5403.7549999999992</v>
      </c>
      <c r="K11" s="460">
        <f t="shared" si="5"/>
        <v>7080.6270000000004</v>
      </c>
      <c r="L11" s="460">
        <f t="shared" si="5"/>
        <v>7165.5</v>
      </c>
      <c r="M11" s="460">
        <f>(M16+M23)</f>
        <v>6791.8209999999999</v>
      </c>
    </row>
    <row r="12" spans="1:14" s="231" customFormat="1" ht="12.75" x14ac:dyDescent="0.2">
      <c r="A12" s="151" t="s">
        <v>495</v>
      </c>
      <c r="B12" s="460">
        <f t="shared" ref="B12:M12" si="6">(B17+B24+B29+B31)</f>
        <v>3585</v>
      </c>
      <c r="C12" s="460">
        <f t="shared" si="6"/>
        <v>3043.3410000000003</v>
      </c>
      <c r="D12" s="460">
        <f t="shared" si="6"/>
        <v>3057.777</v>
      </c>
      <c r="E12" s="460">
        <f t="shared" si="6"/>
        <v>4426.9340000000002</v>
      </c>
      <c r="F12" s="460">
        <f t="shared" si="6"/>
        <v>4790.1419999999998</v>
      </c>
      <c r="G12" s="460">
        <f t="shared" si="6"/>
        <v>5149.2460000000001</v>
      </c>
      <c r="H12" s="460">
        <f t="shared" si="6"/>
        <v>4773.067</v>
      </c>
      <c r="I12" s="460">
        <f t="shared" si="6"/>
        <v>5074.0829999999996</v>
      </c>
      <c r="J12" s="460">
        <f t="shared" si="6"/>
        <v>5382.2729999999992</v>
      </c>
      <c r="K12" s="460">
        <f t="shared" si="6"/>
        <v>3971.752</v>
      </c>
      <c r="L12" s="461">
        <f t="shared" si="6"/>
        <v>3618.576</v>
      </c>
      <c r="M12" s="461">
        <f t="shared" si="6"/>
        <v>3776.16</v>
      </c>
    </row>
    <row r="13" spans="1:14" s="68" customFormat="1" ht="12.75" x14ac:dyDescent="0.2">
      <c r="A13" s="68" t="s">
        <v>499</v>
      </c>
      <c r="B13" s="459">
        <f>B14+B18</f>
        <v>8002</v>
      </c>
      <c r="C13" s="459">
        <f t="shared" ref="C13:I13" si="7">C14+C18</f>
        <v>8378.8709999999992</v>
      </c>
      <c r="D13" s="459">
        <f>D14+D18</f>
        <v>8443.8819999999996</v>
      </c>
      <c r="E13" s="459">
        <f t="shared" si="7"/>
        <v>8617.4930000000004</v>
      </c>
      <c r="F13" s="459">
        <f t="shared" si="7"/>
        <v>8676.1419999999998</v>
      </c>
      <c r="G13" s="459">
        <f t="shared" si="7"/>
        <v>8255.0139999999992</v>
      </c>
      <c r="H13" s="459">
        <f t="shared" si="7"/>
        <v>8414.3719999999994</v>
      </c>
      <c r="I13" s="459">
        <f t="shared" si="7"/>
        <v>8734.8780000000006</v>
      </c>
      <c r="J13" s="459">
        <f>J14+J18</f>
        <v>8836.3410000000003</v>
      </c>
      <c r="K13" s="459">
        <f>K14+K18</f>
        <v>8863.4680000000008</v>
      </c>
      <c r="L13" s="459">
        <f>L14+L18</f>
        <v>8816.7829999999994</v>
      </c>
      <c r="M13" s="459">
        <f>M14+M18</f>
        <v>8952.255000000001</v>
      </c>
    </row>
    <row r="14" spans="1:14" s="52" customFormat="1" ht="12.75" x14ac:dyDescent="0.2">
      <c r="A14" s="52" t="s">
        <v>500</v>
      </c>
      <c r="B14" s="453">
        <f t="shared" ref="B14:M14" si="8">(B15+B16+B17)</f>
        <v>4809</v>
      </c>
      <c r="C14" s="453">
        <f t="shared" si="8"/>
        <v>4883.2349999999997</v>
      </c>
      <c r="D14" s="453">
        <f t="shared" si="8"/>
        <v>4935.3809999999994</v>
      </c>
      <c r="E14" s="453">
        <f t="shared" si="8"/>
        <v>5079.3040000000001</v>
      </c>
      <c r="F14" s="453">
        <f t="shared" si="8"/>
        <v>5071.9160000000002</v>
      </c>
      <c r="G14" s="453">
        <f t="shared" si="8"/>
        <v>4895.3519999999999</v>
      </c>
      <c r="H14" s="453">
        <f t="shared" si="8"/>
        <v>4999.37</v>
      </c>
      <c r="I14" s="453">
        <f t="shared" si="8"/>
        <v>5120.3339999999998</v>
      </c>
      <c r="J14" s="453">
        <f t="shared" si="8"/>
        <v>5122.741</v>
      </c>
      <c r="K14" s="453">
        <f t="shared" si="8"/>
        <v>5317.7820000000002</v>
      </c>
      <c r="L14" s="453">
        <f t="shared" si="8"/>
        <v>5229.8249999999998</v>
      </c>
      <c r="M14" s="462">
        <f t="shared" si="8"/>
        <v>5166.3420000000006</v>
      </c>
    </row>
    <row r="15" spans="1:14" s="151" customFormat="1" ht="12.75" x14ac:dyDescent="0.2">
      <c r="A15" s="151" t="s">
        <v>493</v>
      </c>
      <c r="B15" s="460">
        <f>3051000/1000</f>
        <v>3051</v>
      </c>
      <c r="C15" s="463">
        <f>2852000/1000</f>
        <v>2852</v>
      </c>
      <c r="D15" s="463">
        <f>2655195/1000</f>
        <v>2655.1950000000002</v>
      </c>
      <c r="E15" s="463">
        <f>2501304/1000</f>
        <v>2501.3040000000001</v>
      </c>
      <c r="F15" s="463">
        <f>2287600/1000</f>
        <v>2287.6</v>
      </c>
      <c r="G15" s="463">
        <f>2159600/1000</f>
        <v>2159.6</v>
      </c>
      <c r="H15" s="463">
        <f>2098350/1000</f>
        <v>2098.35</v>
      </c>
      <c r="I15" s="463">
        <f>1891800/1000</f>
        <v>1891.8</v>
      </c>
      <c r="J15" s="463">
        <f>1682250/1000</f>
        <v>1682.25</v>
      </c>
      <c r="K15" s="463">
        <f>1294200/1000</f>
        <v>1294.2</v>
      </c>
      <c r="L15" s="463">
        <f>1126200/1000</f>
        <v>1126.2</v>
      </c>
      <c r="M15" s="464">
        <f>979600/1000</f>
        <v>979.6</v>
      </c>
    </row>
    <row r="16" spans="1:14" s="151" customFormat="1" ht="12.75" x14ac:dyDescent="0.2">
      <c r="A16" s="151" t="s">
        <v>494</v>
      </c>
      <c r="B16" s="453">
        <f>1686000/1000</f>
        <v>1686</v>
      </c>
      <c r="C16" s="463">
        <f>1945035/1000</f>
        <v>1945.0350000000001</v>
      </c>
      <c r="D16" s="463">
        <f>2193375/1000</f>
        <v>2193.375</v>
      </c>
      <c r="E16" s="463">
        <f>2410100/1000</f>
        <v>2410.1</v>
      </c>
      <c r="F16" s="463">
        <f>2542400/1000</f>
        <v>2542.4</v>
      </c>
      <c r="G16" s="463">
        <f>2485400/1000</f>
        <v>2485.4</v>
      </c>
      <c r="H16" s="463">
        <f>2822520/1000</f>
        <v>2822.52</v>
      </c>
      <c r="I16" s="463">
        <f>2938400/1000</f>
        <v>2938.4</v>
      </c>
      <c r="J16" s="463">
        <f>2982700/1000</f>
        <v>2982.7</v>
      </c>
      <c r="K16" s="463">
        <f>3038820/1000</f>
        <v>3038.82</v>
      </c>
      <c r="L16" s="463">
        <f>3150500/1000</f>
        <v>3150.5</v>
      </c>
      <c r="M16" s="464">
        <f>2975820/1000</f>
        <v>2975.82</v>
      </c>
    </row>
    <row r="17" spans="1:13" s="151" customFormat="1" ht="12.75" x14ac:dyDescent="0.2">
      <c r="A17" s="151" t="s">
        <v>495</v>
      </c>
      <c r="B17" s="453">
        <f>72000/1000</f>
        <v>72</v>
      </c>
      <c r="C17" s="463">
        <f>86200/1000</f>
        <v>86.2</v>
      </c>
      <c r="D17" s="463">
        <f>86811/1000</f>
        <v>86.811000000000007</v>
      </c>
      <c r="E17" s="463">
        <f>167900/1000</f>
        <v>167.9</v>
      </c>
      <c r="F17" s="463">
        <f>241916/1000</f>
        <v>241.916</v>
      </c>
      <c r="G17" s="463">
        <f>250352/1000</f>
        <v>250.352</v>
      </c>
      <c r="H17" s="463">
        <f>78500/1000</f>
        <v>78.5</v>
      </c>
      <c r="I17" s="463">
        <f>290134/1000</f>
        <v>290.13400000000001</v>
      </c>
      <c r="J17" s="463">
        <f>457791/1000</f>
        <v>457.791</v>
      </c>
      <c r="K17" s="463">
        <f>984762/1000</f>
        <v>984.76199999999994</v>
      </c>
      <c r="L17" s="463">
        <f>(950300+2825)/1000</f>
        <v>953.125</v>
      </c>
      <c r="M17" s="464">
        <f>1210922/1000</f>
        <v>1210.922</v>
      </c>
    </row>
    <row r="18" spans="1:13" s="52" customFormat="1" ht="12.75" x14ac:dyDescent="0.2">
      <c r="A18" s="52" t="s">
        <v>501</v>
      </c>
      <c r="B18" s="453">
        <f t="shared" ref="B18:M18" si="9">B19</f>
        <v>3193</v>
      </c>
      <c r="C18" s="453">
        <f t="shared" si="9"/>
        <v>3495.636</v>
      </c>
      <c r="D18" s="453">
        <f t="shared" si="9"/>
        <v>3508.5010000000002</v>
      </c>
      <c r="E18" s="453">
        <f t="shared" si="9"/>
        <v>3538.1889999999999</v>
      </c>
      <c r="F18" s="453">
        <f t="shared" si="9"/>
        <v>3604.2260000000001</v>
      </c>
      <c r="G18" s="453">
        <f t="shared" si="9"/>
        <v>3359.6619999999998</v>
      </c>
      <c r="H18" s="453">
        <f t="shared" si="9"/>
        <v>3415.002</v>
      </c>
      <c r="I18" s="453">
        <f t="shared" si="9"/>
        <v>3614.5439999999999</v>
      </c>
      <c r="J18" s="453">
        <f t="shared" si="9"/>
        <v>3713.6</v>
      </c>
      <c r="K18" s="453">
        <f t="shared" si="9"/>
        <v>3545.6860000000001</v>
      </c>
      <c r="L18" s="453">
        <f t="shared" si="9"/>
        <v>3586.9580000000001</v>
      </c>
      <c r="M18" s="462">
        <f t="shared" si="9"/>
        <v>3785.913</v>
      </c>
    </row>
    <row r="19" spans="1:13" s="151" customFormat="1" ht="12.75" x14ac:dyDescent="0.2">
      <c r="A19" s="151" t="s">
        <v>493</v>
      </c>
      <c r="B19" s="460">
        <f>3193000/1000</f>
        <v>3193</v>
      </c>
      <c r="C19" s="460">
        <f>3495636/1000</f>
        <v>3495.636</v>
      </c>
      <c r="D19" s="460">
        <f>3508501/1000</f>
        <v>3508.5010000000002</v>
      </c>
      <c r="E19" s="460">
        <f>3538189/1000</f>
        <v>3538.1889999999999</v>
      </c>
      <c r="F19" s="463">
        <f>3604226/1000</f>
        <v>3604.2260000000001</v>
      </c>
      <c r="G19" s="463">
        <f>3359662/1000</f>
        <v>3359.6619999999998</v>
      </c>
      <c r="H19" s="463">
        <f>3415002/1000</f>
        <v>3415.002</v>
      </c>
      <c r="I19" s="463">
        <f>3614544/1000</f>
        <v>3614.5439999999999</v>
      </c>
      <c r="J19" s="463">
        <f>3713600/1000</f>
        <v>3713.6</v>
      </c>
      <c r="K19" s="463">
        <f>3545686/1000</f>
        <v>3545.6860000000001</v>
      </c>
      <c r="L19" s="463">
        <f>3586958/1000</f>
        <v>3586.9580000000001</v>
      </c>
      <c r="M19" s="464">
        <f>3785913/1000</f>
        <v>3785.913</v>
      </c>
    </row>
    <row r="20" spans="1:13" s="68" customFormat="1" ht="12.75" x14ac:dyDescent="0.2">
      <c r="A20" s="68" t="s">
        <v>502</v>
      </c>
      <c r="B20" s="459">
        <f t="shared" ref="B20:L20" si="10">B21+B27</f>
        <v>4027</v>
      </c>
      <c r="C20" s="459">
        <f t="shared" si="10"/>
        <v>4199.9490000000005</v>
      </c>
      <c r="D20" s="459">
        <f t="shared" si="10"/>
        <v>4397.93</v>
      </c>
      <c r="E20" s="459">
        <f t="shared" si="10"/>
        <v>4583.5590000000002</v>
      </c>
      <c r="F20" s="459">
        <f t="shared" si="10"/>
        <v>5029.7349999999997</v>
      </c>
      <c r="G20" s="459">
        <f t="shared" si="10"/>
        <v>5370.4809999999998</v>
      </c>
      <c r="H20" s="459">
        <f t="shared" si="10"/>
        <v>5586.2900000000009</v>
      </c>
      <c r="I20" s="459">
        <f t="shared" si="10"/>
        <v>5560.8469999999998</v>
      </c>
      <c r="J20" s="459">
        <f t="shared" si="10"/>
        <v>6000.38</v>
      </c>
      <c r="K20" s="459">
        <f t="shared" si="10"/>
        <v>6344.9920000000002</v>
      </c>
      <c r="L20" s="459">
        <f t="shared" si="10"/>
        <v>6924.9</v>
      </c>
      <c r="M20" s="454">
        <f>M21+M27+M25</f>
        <v>6697.7980000000007</v>
      </c>
    </row>
    <row r="21" spans="1:13" s="52" customFormat="1" ht="12.75" x14ac:dyDescent="0.2">
      <c r="A21" s="465" t="s">
        <v>503</v>
      </c>
      <c r="B21" s="453">
        <f t="shared" ref="B21:M21" si="11">B22+B23+B24</f>
        <v>4027</v>
      </c>
      <c r="C21" s="453">
        <f t="shared" si="11"/>
        <v>4199.9490000000005</v>
      </c>
      <c r="D21" s="453">
        <f t="shared" si="11"/>
        <v>4397.93</v>
      </c>
      <c r="E21" s="453">
        <f t="shared" si="11"/>
        <v>4583.5590000000002</v>
      </c>
      <c r="F21" s="453">
        <f t="shared" si="11"/>
        <v>5029.7349999999997</v>
      </c>
      <c r="G21" s="453">
        <f t="shared" si="11"/>
        <v>5370.4809999999998</v>
      </c>
      <c r="H21" s="453">
        <f t="shared" si="11"/>
        <v>5586.2900000000009</v>
      </c>
      <c r="I21" s="453">
        <f t="shared" si="11"/>
        <v>5560.8469999999998</v>
      </c>
      <c r="J21" s="453">
        <f t="shared" si="11"/>
        <v>5068.59</v>
      </c>
      <c r="K21" s="453">
        <f t="shared" si="11"/>
        <v>5356.232</v>
      </c>
      <c r="L21" s="453">
        <f t="shared" si="11"/>
        <v>5861</v>
      </c>
      <c r="M21" s="462">
        <f t="shared" si="11"/>
        <v>3816.0010000000002</v>
      </c>
    </row>
    <row r="22" spans="1:13" s="231" customFormat="1" ht="12.75" x14ac:dyDescent="0.2">
      <c r="A22" s="151" t="s">
        <v>493</v>
      </c>
      <c r="B22" s="460">
        <f>762000/1000</f>
        <v>762</v>
      </c>
      <c r="C22" s="463">
        <f>787771/1000</f>
        <v>787.77099999999996</v>
      </c>
      <c r="D22" s="463">
        <f>840000/1000</f>
        <v>840</v>
      </c>
      <c r="E22" s="463">
        <f>917757/1000</f>
        <v>917.75699999999995</v>
      </c>
      <c r="F22" s="463">
        <f>906000/1000</f>
        <v>906</v>
      </c>
      <c r="G22" s="463">
        <f>1010550/1000</f>
        <v>1010.55</v>
      </c>
      <c r="H22" s="463">
        <f>1029640/1000</f>
        <v>1029.6400000000001</v>
      </c>
      <c r="I22" s="463">
        <f>1041521/1000</f>
        <v>1041.521</v>
      </c>
      <c r="J22" s="463">
        <f>1112021/1000</f>
        <v>1112.021</v>
      </c>
      <c r="K22" s="463">
        <f>1314425/1000</f>
        <v>1314.425</v>
      </c>
      <c r="L22" s="463">
        <f>1846000/1000</f>
        <v>1846</v>
      </c>
      <c r="M22" s="464">
        <v>0</v>
      </c>
    </row>
    <row r="23" spans="1:13" s="231" customFormat="1" ht="12.75" x14ac:dyDescent="0.2">
      <c r="A23" s="151" t="s">
        <v>494</v>
      </c>
      <c r="B23" s="460">
        <f>2760000/1000</f>
        <v>2760</v>
      </c>
      <c r="C23" s="463">
        <f>2909716/1000</f>
        <v>2909.7159999999999</v>
      </c>
      <c r="D23" s="463">
        <f>3043020/1000</f>
        <v>3043.02</v>
      </c>
      <c r="E23" s="463">
        <f>2324168/1000</f>
        <v>2324.1680000000001</v>
      </c>
      <c r="F23" s="463">
        <f>2458850/1000</f>
        <v>2458.85</v>
      </c>
      <c r="G23" s="463">
        <f>2512000/1000</f>
        <v>2512</v>
      </c>
      <c r="H23" s="463">
        <f>2600000/1000</f>
        <v>2600</v>
      </c>
      <c r="I23" s="463">
        <f>2484095/1000</f>
        <v>2484.0949999999998</v>
      </c>
      <c r="J23" s="463">
        <f>2421055/1000</f>
        <v>2421.0549999999998</v>
      </c>
      <c r="K23" s="463">
        <f>4041807/1000</f>
        <v>4041.8069999999998</v>
      </c>
      <c r="L23" s="463">
        <f>4015000/1000</f>
        <v>4015</v>
      </c>
      <c r="M23" s="464">
        <f>3816001/1000</f>
        <v>3816.0010000000002</v>
      </c>
    </row>
    <row r="24" spans="1:13" s="231" customFormat="1" ht="12.75" x14ac:dyDescent="0.2">
      <c r="A24" s="151" t="s">
        <v>495</v>
      </c>
      <c r="B24" s="460">
        <f>505000/1000</f>
        <v>505</v>
      </c>
      <c r="C24" s="463">
        <f>502462/1000</f>
        <v>502.46199999999999</v>
      </c>
      <c r="D24" s="463">
        <f>514910/1000</f>
        <v>514.91</v>
      </c>
      <c r="E24" s="463">
        <f>1341634/1000</f>
        <v>1341.634</v>
      </c>
      <c r="F24" s="463">
        <f>1664885/1000</f>
        <v>1664.885</v>
      </c>
      <c r="G24" s="463">
        <f>1847931/1000</f>
        <v>1847.931</v>
      </c>
      <c r="H24" s="463">
        <f>1956650/1000</f>
        <v>1956.65</v>
      </c>
      <c r="I24" s="463">
        <f>2035231/1000</f>
        <v>2035.231</v>
      </c>
      <c r="J24" s="463">
        <f>1535514/1000</f>
        <v>1535.5139999999999</v>
      </c>
      <c r="K24" s="463">
        <v>0</v>
      </c>
      <c r="L24" s="463">
        <v>0</v>
      </c>
      <c r="M24" s="464">
        <v>0</v>
      </c>
    </row>
    <row r="25" spans="1:13" s="231" customFormat="1" ht="12.75" x14ac:dyDescent="0.2">
      <c r="A25" s="465" t="s">
        <v>504</v>
      </c>
      <c r="B25" s="460"/>
      <c r="C25" s="463"/>
      <c r="D25" s="463"/>
      <c r="E25" s="463"/>
      <c r="F25" s="463"/>
      <c r="G25" s="463"/>
      <c r="H25" s="463"/>
      <c r="I25" s="463"/>
      <c r="J25" s="463"/>
      <c r="K25" s="463"/>
      <c r="L25" s="463"/>
      <c r="M25" s="462">
        <f>M26</f>
        <v>1954.4670000000001</v>
      </c>
    </row>
    <row r="26" spans="1:13" s="231" customFormat="1" ht="12.75" x14ac:dyDescent="0.2">
      <c r="A26" s="151" t="s">
        <v>493</v>
      </c>
      <c r="B26" s="460"/>
      <c r="C26" s="463"/>
      <c r="D26" s="463"/>
      <c r="E26" s="463"/>
      <c r="F26" s="463"/>
      <c r="G26" s="463"/>
      <c r="H26" s="463"/>
      <c r="I26" s="463"/>
      <c r="J26" s="463"/>
      <c r="K26" s="463"/>
      <c r="L26" s="463"/>
      <c r="M26" s="464">
        <f>1954467/1000</f>
        <v>1954.4670000000001</v>
      </c>
    </row>
    <row r="27" spans="1:13" s="52" customFormat="1" ht="12.75" x14ac:dyDescent="0.2">
      <c r="A27" s="26" t="s">
        <v>505</v>
      </c>
      <c r="B27" s="453">
        <f t="shared" ref="B27:I27" si="12">B28+B29</f>
        <v>0</v>
      </c>
      <c r="C27" s="453">
        <f t="shared" si="12"/>
        <v>0</v>
      </c>
      <c r="D27" s="453">
        <f t="shared" si="12"/>
        <v>0</v>
      </c>
      <c r="E27" s="453">
        <f t="shared" si="12"/>
        <v>0</v>
      </c>
      <c r="F27" s="453">
        <f t="shared" si="12"/>
        <v>0</v>
      </c>
      <c r="G27" s="453">
        <f t="shared" si="12"/>
        <v>0</v>
      </c>
      <c r="H27" s="453">
        <f t="shared" si="12"/>
        <v>0</v>
      </c>
      <c r="I27" s="453">
        <f t="shared" si="12"/>
        <v>0</v>
      </c>
      <c r="J27" s="453">
        <f>J28+J29</f>
        <v>931.79</v>
      </c>
      <c r="K27" s="453">
        <f>K28+K29</f>
        <v>988.76</v>
      </c>
      <c r="L27" s="453">
        <f>L28+L29</f>
        <v>1063.8999999999999</v>
      </c>
      <c r="M27" s="462">
        <f>M28+M29</f>
        <v>927.33</v>
      </c>
    </row>
    <row r="28" spans="1:13" s="52" customFormat="1" ht="12.75" x14ac:dyDescent="0.2">
      <c r="A28" s="151" t="s">
        <v>493</v>
      </c>
      <c r="B28" s="466">
        <v>0</v>
      </c>
      <c r="C28" s="466">
        <v>0</v>
      </c>
      <c r="D28" s="466">
        <v>0</v>
      </c>
      <c r="E28" s="466">
        <v>0</v>
      </c>
      <c r="F28" s="466">
        <v>0</v>
      </c>
      <c r="G28" s="466">
        <v>0</v>
      </c>
      <c r="H28" s="453">
        <v>0</v>
      </c>
      <c r="I28" s="453">
        <v>0</v>
      </c>
      <c r="J28" s="467">
        <f>33670/1000</f>
        <v>33.67</v>
      </c>
      <c r="K28" s="467">
        <f>37520/1000</f>
        <v>37.520000000000003</v>
      </c>
      <c r="L28" s="467">
        <f>34050/1000</f>
        <v>34.049999999999997</v>
      </c>
      <c r="M28" s="468">
        <f>36000/1000</f>
        <v>36</v>
      </c>
    </row>
    <row r="29" spans="1:13" s="52" customFormat="1" ht="12.75" x14ac:dyDescent="0.2">
      <c r="A29" s="151" t="s">
        <v>495</v>
      </c>
      <c r="B29" s="466">
        <v>0</v>
      </c>
      <c r="C29" s="466">
        <v>0</v>
      </c>
      <c r="D29" s="466">
        <v>0</v>
      </c>
      <c r="E29" s="466">
        <v>0</v>
      </c>
      <c r="F29" s="466">
        <v>0</v>
      </c>
      <c r="G29" s="466">
        <v>0</v>
      </c>
      <c r="H29" s="453">
        <v>0</v>
      </c>
      <c r="I29" s="453">
        <v>0</v>
      </c>
      <c r="J29" s="467">
        <f>898120/1000</f>
        <v>898.12</v>
      </c>
      <c r="K29" s="467">
        <f>951240/1000</f>
        <v>951.24</v>
      </c>
      <c r="L29" s="467">
        <f>1029850/1000</f>
        <v>1029.8499999999999</v>
      </c>
      <c r="M29" s="468">
        <f>891330/1000</f>
        <v>891.33</v>
      </c>
    </row>
    <row r="30" spans="1:13" s="68" customFormat="1" ht="12.75" x14ac:dyDescent="0.2">
      <c r="A30" s="68" t="s">
        <v>506</v>
      </c>
      <c r="B30" s="459">
        <f t="shared" ref="B30:M30" si="13">B31</f>
        <v>3008</v>
      </c>
      <c r="C30" s="459">
        <f t="shared" si="13"/>
        <v>2454.6790000000001</v>
      </c>
      <c r="D30" s="459">
        <f t="shared" si="13"/>
        <v>2456.056</v>
      </c>
      <c r="E30" s="459">
        <f t="shared" si="13"/>
        <v>2917.4</v>
      </c>
      <c r="F30" s="459">
        <f t="shared" si="13"/>
        <v>2883.3409999999999</v>
      </c>
      <c r="G30" s="459">
        <f t="shared" si="13"/>
        <v>3050.9630000000002</v>
      </c>
      <c r="H30" s="459">
        <f t="shared" si="13"/>
        <v>2737.9169999999999</v>
      </c>
      <c r="I30" s="459">
        <f t="shared" si="13"/>
        <v>2748.7179999999998</v>
      </c>
      <c r="J30" s="459">
        <f t="shared" si="13"/>
        <v>2490.848</v>
      </c>
      <c r="K30" s="459">
        <f t="shared" si="13"/>
        <v>2035.75</v>
      </c>
      <c r="L30" s="459">
        <f t="shared" si="13"/>
        <v>1635.6010000000001</v>
      </c>
      <c r="M30" s="454">
        <f t="shared" si="13"/>
        <v>1673.9079999999999</v>
      </c>
    </row>
    <row r="31" spans="1:13" s="151" customFormat="1" ht="12.75" x14ac:dyDescent="0.2">
      <c r="A31" s="151" t="s">
        <v>495</v>
      </c>
      <c r="B31" s="453">
        <f>3008000/1000</f>
        <v>3008</v>
      </c>
      <c r="C31" s="469">
        <f>(1367540+1087139)/1000</f>
        <v>2454.6790000000001</v>
      </c>
      <c r="D31" s="469">
        <f>2456056/1000</f>
        <v>2456.056</v>
      </c>
      <c r="E31" s="469">
        <f>2917400/1000</f>
        <v>2917.4</v>
      </c>
      <c r="F31" s="469">
        <f>2883341/1000</f>
        <v>2883.3409999999999</v>
      </c>
      <c r="G31" s="469">
        <f>3050963/1000</f>
        <v>3050.9630000000002</v>
      </c>
      <c r="H31" s="469">
        <f>2737917/1000</f>
        <v>2737.9169999999999</v>
      </c>
      <c r="I31" s="469">
        <f>2748718/1000</f>
        <v>2748.7179999999998</v>
      </c>
      <c r="J31" s="469">
        <f>2490848/1000</f>
        <v>2490.848</v>
      </c>
      <c r="K31" s="469">
        <f>2035750/1000</f>
        <v>2035.75</v>
      </c>
      <c r="L31" s="469">
        <f>1635601/1000</f>
        <v>1635.6010000000001</v>
      </c>
      <c r="M31" s="470">
        <f>1673908/1000</f>
        <v>1673.9079999999999</v>
      </c>
    </row>
    <row r="32" spans="1:13" s="151" customFormat="1" ht="12.75" x14ac:dyDescent="0.2">
      <c r="B32" s="453"/>
      <c r="C32" s="469"/>
      <c r="D32" s="469"/>
      <c r="E32" s="469"/>
      <c r="F32" s="469"/>
      <c r="G32" s="469"/>
      <c r="H32" s="469"/>
      <c r="I32" s="469"/>
      <c r="J32" s="469"/>
      <c r="K32" s="469"/>
      <c r="L32" s="469"/>
      <c r="M32" s="470"/>
    </row>
    <row r="33" spans="1:13" s="52" customFormat="1" ht="12.75" x14ac:dyDescent="0.2">
      <c r="A33" s="457" t="s">
        <v>507</v>
      </c>
      <c r="B33" s="458">
        <f t="shared" ref="B33:I33" si="14">B34</f>
        <v>7636</v>
      </c>
      <c r="C33" s="458">
        <f t="shared" si="14"/>
        <v>8149.2440000000006</v>
      </c>
      <c r="D33" s="458">
        <f t="shared" si="14"/>
        <v>7892.2809999999999</v>
      </c>
      <c r="E33" s="458">
        <f t="shared" si="14"/>
        <v>8335.902</v>
      </c>
      <c r="F33" s="458">
        <f t="shared" si="14"/>
        <v>8147.0619999999999</v>
      </c>
      <c r="G33" s="458">
        <f t="shared" si="14"/>
        <v>7948.0079999999998</v>
      </c>
      <c r="H33" s="458">
        <f t="shared" si="14"/>
        <v>8041.1639999999989</v>
      </c>
      <c r="I33" s="458">
        <f t="shared" si="14"/>
        <v>8138.2669999999998</v>
      </c>
      <c r="J33" s="458">
        <f>J34</f>
        <v>7962.2259999999997</v>
      </c>
      <c r="K33" s="458">
        <f>K34</f>
        <v>7615.518</v>
      </c>
      <c r="L33" s="458">
        <f>L34</f>
        <v>7643.2240000000002</v>
      </c>
      <c r="M33" s="471">
        <f>M34</f>
        <v>7899.4319999999998</v>
      </c>
    </row>
    <row r="34" spans="1:13" s="52" customFormat="1" ht="12.75" x14ac:dyDescent="0.2">
      <c r="A34" s="151" t="s">
        <v>495</v>
      </c>
      <c r="B34" s="460">
        <f>B35+B38+B40</f>
        <v>7636</v>
      </c>
      <c r="C34" s="460">
        <f t="shared" ref="C34:I34" si="15">C35+C38+C40</f>
        <v>8149.2440000000006</v>
      </c>
      <c r="D34" s="460">
        <f t="shared" si="15"/>
        <v>7892.2809999999999</v>
      </c>
      <c r="E34" s="460">
        <f t="shared" si="15"/>
        <v>8335.902</v>
      </c>
      <c r="F34" s="460">
        <f t="shared" si="15"/>
        <v>8147.0619999999999</v>
      </c>
      <c r="G34" s="460">
        <f t="shared" si="15"/>
        <v>7948.0079999999998</v>
      </c>
      <c r="H34" s="460">
        <f t="shared" si="15"/>
        <v>8041.1639999999989</v>
      </c>
      <c r="I34" s="460">
        <f t="shared" si="15"/>
        <v>8138.2669999999998</v>
      </c>
      <c r="J34" s="460">
        <f>J35+J38+J40</f>
        <v>7962.2259999999997</v>
      </c>
      <c r="K34" s="460">
        <f>K35+K38+K40</f>
        <v>7615.518</v>
      </c>
      <c r="L34" s="460">
        <f>L35+L38+L40</f>
        <v>7643.2240000000002</v>
      </c>
      <c r="M34" s="461">
        <f>M35+M38+M40</f>
        <v>7899.4319999999998</v>
      </c>
    </row>
    <row r="35" spans="1:13" s="68" customFormat="1" ht="12.75" x14ac:dyDescent="0.2">
      <c r="A35" s="68" t="s">
        <v>508</v>
      </c>
      <c r="B35" s="459">
        <f t="shared" ref="B35:I35" si="16">B36+B37</f>
        <v>4421</v>
      </c>
      <c r="C35" s="459">
        <f t="shared" si="16"/>
        <v>6556.26</v>
      </c>
      <c r="D35" s="459">
        <f t="shared" si="16"/>
        <v>6202.76</v>
      </c>
      <c r="E35" s="459">
        <f t="shared" si="16"/>
        <v>6584.24</v>
      </c>
      <c r="F35" s="459">
        <f t="shared" si="16"/>
        <v>6222.6060000000007</v>
      </c>
      <c r="G35" s="459">
        <f t="shared" si="16"/>
        <v>6039.2330000000002</v>
      </c>
      <c r="H35" s="459">
        <f t="shared" si="16"/>
        <v>6558.1279999999997</v>
      </c>
      <c r="I35" s="459">
        <f t="shared" si="16"/>
        <v>6858.1350000000002</v>
      </c>
      <c r="J35" s="459">
        <f>J36+J37</f>
        <v>6739.4279999999999</v>
      </c>
      <c r="K35" s="459">
        <f>K36+K37</f>
        <v>6769.2809999999999</v>
      </c>
      <c r="L35" s="459">
        <f>L36+L37</f>
        <v>6808.0129999999999</v>
      </c>
      <c r="M35" s="454">
        <f>M36+M37</f>
        <v>7141.723</v>
      </c>
    </row>
    <row r="36" spans="1:13" s="52" customFormat="1" ht="12.75" x14ac:dyDescent="0.2">
      <c r="A36" s="465" t="s">
        <v>509</v>
      </c>
      <c r="B36" s="453">
        <v>0</v>
      </c>
      <c r="C36" s="373">
        <f>3506311/1000</f>
        <v>3506.3110000000001</v>
      </c>
      <c r="D36" s="373">
        <f>2207095/1000</f>
        <v>2207.0949999999998</v>
      </c>
      <c r="E36" s="373">
        <f>1149529/1000</f>
        <v>1149.529</v>
      </c>
      <c r="F36" s="373">
        <f>291354/1000</f>
        <v>291.35399999999998</v>
      </c>
      <c r="G36" s="373">
        <f>2058/1000</f>
        <v>2.0579999999999998</v>
      </c>
      <c r="H36" s="453">
        <f>476833/1000</f>
        <v>476.83300000000003</v>
      </c>
      <c r="I36" s="453">
        <f>723505/1000</f>
        <v>723.505</v>
      </c>
      <c r="J36" s="453">
        <f>558418/1000</f>
        <v>558.41800000000001</v>
      </c>
      <c r="K36" s="453">
        <f>459707/1000</f>
        <v>459.70699999999999</v>
      </c>
      <c r="L36" s="453">
        <f>257323/1000</f>
        <v>257.32299999999998</v>
      </c>
      <c r="M36" s="462">
        <f>581445/1000</f>
        <v>581.44500000000005</v>
      </c>
    </row>
    <row r="37" spans="1:13" s="52" customFormat="1" ht="12.75" x14ac:dyDescent="0.2">
      <c r="A37" s="465" t="s">
        <v>510</v>
      </c>
      <c r="B37" s="453">
        <f>4421000/1000</f>
        <v>4421</v>
      </c>
      <c r="C37" s="373">
        <f>3049949/1000</f>
        <v>3049.9490000000001</v>
      </c>
      <c r="D37" s="373">
        <f>3995665/1000</f>
        <v>3995.665</v>
      </c>
      <c r="E37" s="373">
        <f>5434711/1000</f>
        <v>5434.7110000000002</v>
      </c>
      <c r="F37" s="373">
        <f>5931252/1000</f>
        <v>5931.2520000000004</v>
      </c>
      <c r="G37" s="373">
        <f>6037175/1000</f>
        <v>6037.1750000000002</v>
      </c>
      <c r="H37" s="453">
        <f>6081295/1000</f>
        <v>6081.2950000000001</v>
      </c>
      <c r="I37" s="453">
        <f>6134630/1000</f>
        <v>6134.63</v>
      </c>
      <c r="J37" s="453">
        <f>6181010/1000</f>
        <v>6181.01</v>
      </c>
      <c r="K37" s="453">
        <f>6309574/1000</f>
        <v>6309.5739999999996</v>
      </c>
      <c r="L37" s="453">
        <f>6550690/1000</f>
        <v>6550.69</v>
      </c>
      <c r="M37" s="462">
        <f>6560278/1000</f>
        <v>6560.2780000000002</v>
      </c>
    </row>
    <row r="38" spans="1:13" s="68" customFormat="1" ht="12.75" x14ac:dyDescent="0.2">
      <c r="A38" s="68" t="s">
        <v>511</v>
      </c>
      <c r="B38" s="459">
        <f t="shared" ref="B38:I38" si="17">B39</f>
        <v>2288</v>
      </c>
      <c r="C38" s="459">
        <f t="shared" si="17"/>
        <v>608.11800000000005</v>
      </c>
      <c r="D38" s="459">
        <f t="shared" si="17"/>
        <v>638.37300000000005</v>
      </c>
      <c r="E38" s="459">
        <f t="shared" si="17"/>
        <v>706.10699999999997</v>
      </c>
      <c r="F38" s="459">
        <f t="shared" si="17"/>
        <v>760.85599999999999</v>
      </c>
      <c r="G38" s="459">
        <f t="shared" si="17"/>
        <v>738.65499999999997</v>
      </c>
      <c r="H38" s="459">
        <f t="shared" si="17"/>
        <v>695.101</v>
      </c>
      <c r="I38" s="459">
        <f t="shared" si="17"/>
        <v>599.30799999999999</v>
      </c>
      <c r="J38" s="459">
        <f>J39</f>
        <v>489.30799999999999</v>
      </c>
      <c r="K38" s="459">
        <f>K39</f>
        <v>138.96700000000001</v>
      </c>
      <c r="L38" s="459">
        <f>L39</f>
        <v>138.732</v>
      </c>
      <c r="M38" s="454">
        <f>M39</f>
        <v>80.87</v>
      </c>
    </row>
    <row r="39" spans="1:13" s="52" customFormat="1" ht="12.75" x14ac:dyDescent="0.2">
      <c r="A39" s="465" t="s">
        <v>510</v>
      </c>
      <c r="B39" s="453">
        <f>2288000/1000</f>
        <v>2288</v>
      </c>
      <c r="C39" s="373">
        <f>608118/1000</f>
        <v>608.11800000000005</v>
      </c>
      <c r="D39" s="373">
        <f>638373/1000</f>
        <v>638.37300000000005</v>
      </c>
      <c r="E39" s="373">
        <f>706107/1000</f>
        <v>706.10699999999997</v>
      </c>
      <c r="F39" s="373">
        <f>760856/1000</f>
        <v>760.85599999999999</v>
      </c>
      <c r="G39" s="373">
        <f>738655/1000</f>
        <v>738.65499999999997</v>
      </c>
      <c r="H39" s="373">
        <f>695101/1000</f>
        <v>695.101</v>
      </c>
      <c r="I39" s="453">
        <f>599308/1000</f>
        <v>599.30799999999999</v>
      </c>
      <c r="J39" s="453">
        <f>489308/1000</f>
        <v>489.30799999999999</v>
      </c>
      <c r="K39" s="453">
        <f>138967/1000</f>
        <v>138.96700000000001</v>
      </c>
      <c r="L39" s="453">
        <f>138732/1000</f>
        <v>138.732</v>
      </c>
      <c r="M39" s="462">
        <f>80870/1000</f>
        <v>80.87</v>
      </c>
    </row>
    <row r="40" spans="1:13" s="68" customFormat="1" ht="12.75" x14ac:dyDescent="0.2">
      <c r="A40" s="120" t="s">
        <v>512</v>
      </c>
      <c r="B40" s="459">
        <f t="shared" ref="B40:I40" si="18">B41</f>
        <v>927</v>
      </c>
      <c r="C40" s="459">
        <f t="shared" si="18"/>
        <v>984.86599999999999</v>
      </c>
      <c r="D40" s="459">
        <f t="shared" si="18"/>
        <v>1051.1479999999999</v>
      </c>
      <c r="E40" s="459">
        <f t="shared" si="18"/>
        <v>1045.5550000000001</v>
      </c>
      <c r="F40" s="459">
        <f t="shared" si="18"/>
        <v>1163.5999999999999</v>
      </c>
      <c r="G40" s="459">
        <f t="shared" si="18"/>
        <v>1170.1199999999999</v>
      </c>
      <c r="H40" s="459">
        <f t="shared" si="18"/>
        <v>787.93499999999995</v>
      </c>
      <c r="I40" s="459">
        <f t="shared" si="18"/>
        <v>680.82399999999996</v>
      </c>
      <c r="J40" s="459">
        <f>J41</f>
        <v>733.49</v>
      </c>
      <c r="K40" s="459">
        <f>K41</f>
        <v>707.27</v>
      </c>
      <c r="L40" s="459">
        <f>L41</f>
        <v>696.47900000000004</v>
      </c>
      <c r="M40" s="454">
        <f>M41</f>
        <v>676.83900000000006</v>
      </c>
    </row>
    <row r="41" spans="1:13" s="52" customFormat="1" ht="12.75" x14ac:dyDescent="0.2">
      <c r="A41" s="465" t="s">
        <v>513</v>
      </c>
      <c r="B41" s="453">
        <f>927000/1000</f>
        <v>927</v>
      </c>
      <c r="C41" s="453">
        <f>984866/1000</f>
        <v>984.86599999999999</v>
      </c>
      <c r="D41" s="453">
        <f>1051148/1000</f>
        <v>1051.1479999999999</v>
      </c>
      <c r="E41" s="453">
        <f>1045555/1000</f>
        <v>1045.5550000000001</v>
      </c>
      <c r="F41" s="453">
        <f>1163600/1000</f>
        <v>1163.5999999999999</v>
      </c>
      <c r="G41" s="453">
        <f>1170120/1000</f>
        <v>1170.1199999999999</v>
      </c>
      <c r="H41" s="453">
        <f>787935/1000</f>
        <v>787.93499999999995</v>
      </c>
      <c r="I41" s="453">
        <f>680824/1000</f>
        <v>680.82399999999996</v>
      </c>
      <c r="J41" s="453">
        <f>733490/1000</f>
        <v>733.49</v>
      </c>
      <c r="K41" s="453">
        <f>707270/1000</f>
        <v>707.27</v>
      </c>
      <c r="L41" s="453">
        <f>696479/1000</f>
        <v>696.47900000000004</v>
      </c>
      <c r="M41" s="462">
        <f>676839/1000</f>
        <v>676.83900000000006</v>
      </c>
    </row>
    <row r="42" spans="1:13" s="52" customFormat="1" ht="12.75" x14ac:dyDescent="0.2">
      <c r="A42" s="465"/>
      <c r="B42" s="453"/>
      <c r="C42" s="453"/>
      <c r="D42" s="453"/>
      <c r="E42" s="453"/>
      <c r="F42" s="453"/>
      <c r="G42" s="453"/>
      <c r="H42" s="453"/>
      <c r="I42" s="453"/>
      <c r="J42" s="453"/>
      <c r="K42" s="453"/>
      <c r="L42" s="453"/>
      <c r="M42" s="453"/>
    </row>
    <row r="43" spans="1:13" s="68" customFormat="1" ht="12.75" x14ac:dyDescent="0.2">
      <c r="A43" s="180" t="s">
        <v>514</v>
      </c>
      <c r="B43" s="454"/>
      <c r="C43" s="454"/>
      <c r="D43" s="454"/>
      <c r="E43" s="454"/>
      <c r="F43" s="454"/>
      <c r="G43" s="454"/>
      <c r="H43" s="454"/>
      <c r="I43" s="454"/>
      <c r="J43" s="454"/>
      <c r="K43" s="454"/>
      <c r="L43" s="454"/>
      <c r="M43" s="454">
        <f>M44</f>
        <v>7862.9929999999995</v>
      </c>
    </row>
    <row r="44" spans="1:13" s="52" customFormat="1" ht="12.75" x14ac:dyDescent="0.2">
      <c r="A44" s="164" t="s">
        <v>515</v>
      </c>
      <c r="B44" s="462"/>
      <c r="C44" s="462"/>
      <c r="D44" s="462"/>
      <c r="E44" s="462"/>
      <c r="F44" s="462"/>
      <c r="G44" s="462"/>
      <c r="H44" s="462"/>
      <c r="I44" s="462"/>
      <c r="J44" s="462"/>
      <c r="K44" s="462"/>
      <c r="L44" s="462"/>
      <c r="M44" s="462">
        <f>M45+M46</f>
        <v>7862.9929999999995</v>
      </c>
    </row>
    <row r="45" spans="1:13" s="52" customFormat="1" ht="12.75" x14ac:dyDescent="0.2">
      <c r="A45" s="531" t="s">
        <v>516</v>
      </c>
      <c r="B45" s="462"/>
      <c r="C45" s="462"/>
      <c r="D45" s="462"/>
      <c r="E45" s="462"/>
      <c r="F45" s="462"/>
      <c r="G45" s="462"/>
      <c r="H45" s="462"/>
      <c r="I45" s="462"/>
      <c r="J45" s="462"/>
      <c r="K45" s="462"/>
      <c r="L45" s="462"/>
      <c r="M45" s="462">
        <f>7433190/1000</f>
        <v>7433.19</v>
      </c>
    </row>
    <row r="46" spans="1:13" s="52" customFormat="1" ht="12.75" x14ac:dyDescent="0.2">
      <c r="A46" s="531" t="s">
        <v>517</v>
      </c>
      <c r="B46" s="462"/>
      <c r="C46" s="462"/>
      <c r="D46" s="462"/>
      <c r="E46" s="462"/>
      <c r="F46" s="462"/>
      <c r="G46" s="462"/>
      <c r="H46" s="462"/>
      <c r="I46" s="462"/>
      <c r="J46" s="462"/>
      <c r="K46" s="462"/>
      <c r="L46" s="462"/>
      <c r="M46" s="462">
        <f>429803/1000</f>
        <v>429.803</v>
      </c>
    </row>
    <row r="47" spans="1:13" s="52" customFormat="1" ht="12.75" x14ac:dyDescent="0.2">
      <c r="A47" s="465"/>
      <c r="B47" s="453"/>
      <c r="C47" s="453"/>
      <c r="D47" s="453"/>
      <c r="E47" s="453"/>
      <c r="F47" s="453"/>
      <c r="G47" s="453"/>
      <c r="H47" s="453"/>
      <c r="I47" s="453"/>
      <c r="J47" s="453"/>
      <c r="K47" s="453"/>
      <c r="L47" s="453"/>
      <c r="M47" s="453"/>
    </row>
    <row r="48" spans="1:13" s="52" customFormat="1" ht="26.25" customHeight="1" thickBot="1" x14ac:dyDescent="0.25">
      <c r="A48" s="455" t="s">
        <v>518</v>
      </c>
      <c r="B48" s="456"/>
      <c r="C48" s="456"/>
      <c r="D48" s="456"/>
      <c r="E48" s="456"/>
      <c r="F48" s="456"/>
      <c r="G48" s="456"/>
      <c r="H48" s="456"/>
      <c r="I48" s="456"/>
      <c r="J48" s="456"/>
      <c r="K48" s="456"/>
      <c r="L48" s="456"/>
      <c r="M48" s="456"/>
    </row>
    <row r="49" spans="1:25" s="472" customFormat="1" ht="13.5" thickTop="1" x14ac:dyDescent="0.2">
      <c r="A49" s="457" t="s">
        <v>519</v>
      </c>
      <c r="B49" s="458">
        <f>372000/1000</f>
        <v>372</v>
      </c>
      <c r="C49" s="458">
        <f>645000/1000</f>
        <v>645</v>
      </c>
      <c r="D49" s="458">
        <f>988000/1000</f>
        <v>988</v>
      </c>
      <c r="E49" s="458">
        <f>2529000/1000</f>
        <v>2529</v>
      </c>
      <c r="F49" s="458">
        <f>3221000/1000</f>
        <v>3221</v>
      </c>
      <c r="G49" s="458">
        <f>5800000/1000</f>
        <v>5800</v>
      </c>
      <c r="H49" s="458">
        <f>4383000/1000</f>
        <v>4383</v>
      </c>
      <c r="I49" s="458">
        <f>4300000/1000</f>
        <v>4300</v>
      </c>
      <c r="J49" s="458">
        <f>4200000/1000</f>
        <v>4200</v>
      </c>
      <c r="K49" s="458">
        <f>2800000/1000</f>
        <v>2800</v>
      </c>
      <c r="L49" s="458">
        <v>3494</v>
      </c>
      <c r="M49" s="458">
        <v>3105</v>
      </c>
    </row>
    <row r="50" spans="1:25" s="52" customFormat="1" ht="12.75" x14ac:dyDescent="0.2">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row>
    <row r="51" spans="1:25" s="52" customFormat="1" ht="12.75" x14ac:dyDescent="0.2">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row>
    <row r="52" spans="1:25" s="22" customFormat="1" ht="23.25" customHeight="1" thickBot="1" x14ac:dyDescent="0.25">
      <c r="A52" s="455" t="s">
        <v>520</v>
      </c>
      <c r="B52" s="456"/>
      <c r="C52" s="456"/>
      <c r="D52" s="456"/>
      <c r="E52" s="456"/>
      <c r="F52" s="456"/>
      <c r="G52" s="456"/>
      <c r="H52" s="456"/>
      <c r="I52" s="456"/>
      <c r="J52" s="456"/>
      <c r="K52" s="456"/>
      <c r="L52" s="456"/>
      <c r="M52" s="456"/>
    </row>
    <row r="53" spans="1:25" s="22" customFormat="1" ht="13.5" thickTop="1" x14ac:dyDescent="0.2">
      <c r="A53" s="473" t="s">
        <v>521</v>
      </c>
      <c r="B53" s="474"/>
      <c r="C53" s="474"/>
      <c r="D53" s="474"/>
      <c r="E53" s="474"/>
      <c r="F53" s="474"/>
      <c r="G53" s="474"/>
      <c r="H53" s="474"/>
      <c r="I53" s="474"/>
      <c r="J53" s="474"/>
      <c r="K53" s="474"/>
      <c r="L53" s="474"/>
      <c r="M53" s="475"/>
    </row>
    <row r="54" spans="1:25" s="22" customFormat="1" ht="12.75" x14ac:dyDescent="0.2">
      <c r="A54" s="476" t="s">
        <v>522</v>
      </c>
      <c r="B54" s="477">
        <v>1.5599999999999999E-2</v>
      </c>
      <c r="C54" s="477">
        <v>1.5599999999999999E-2</v>
      </c>
      <c r="D54" s="477">
        <v>1.52E-2</v>
      </c>
      <c r="E54" s="477">
        <v>1.41E-2</v>
      </c>
      <c r="F54" s="477">
        <v>1.37E-2</v>
      </c>
      <c r="G54" s="477">
        <v>1.2999999999999999E-2</v>
      </c>
      <c r="H54" s="477">
        <v>1.32E-2</v>
      </c>
      <c r="I54" s="477">
        <v>1.29E-2</v>
      </c>
      <c r="J54" s="477">
        <v>1.2699999999999999E-2</v>
      </c>
      <c r="K54" s="477">
        <v>1.23E-2</v>
      </c>
      <c r="L54" s="477">
        <v>1.29E-2</v>
      </c>
      <c r="M54" s="478">
        <v>1.32E-2</v>
      </c>
    </row>
    <row r="55" spans="1:25" s="22" customFormat="1" ht="12.75" x14ac:dyDescent="0.2">
      <c r="A55" s="476" t="s">
        <v>48</v>
      </c>
      <c r="B55" s="477">
        <v>6.6E-3</v>
      </c>
      <c r="C55" s="477">
        <v>5.8999999999999999E-3</v>
      </c>
      <c r="D55" s="477">
        <v>6.4999999999999997E-3</v>
      </c>
      <c r="E55" s="477">
        <v>6.7000000000000002E-3</v>
      </c>
      <c r="F55" s="477">
        <v>6.7000000000000002E-3</v>
      </c>
      <c r="G55" s="477">
        <v>6.7000000000000002E-3</v>
      </c>
      <c r="H55" s="477">
        <v>6.7000000000000002E-3</v>
      </c>
      <c r="I55" s="477">
        <v>6.4999999999999997E-3</v>
      </c>
      <c r="J55" s="477">
        <v>6.1999999999999998E-3</v>
      </c>
      <c r="K55" s="477">
        <v>5.3E-3</v>
      </c>
      <c r="L55" s="477">
        <v>5.4000000000000003E-3</v>
      </c>
      <c r="M55" s="478">
        <v>5.4999999999999997E-3</v>
      </c>
    </row>
    <row r="56" spans="1:25" s="22" customFormat="1" ht="12.75" x14ac:dyDescent="0.2">
      <c r="A56" s="479" t="s">
        <v>523</v>
      </c>
      <c r="B56" s="477">
        <v>1.11E-2</v>
      </c>
      <c r="C56" s="477">
        <v>6.3E-3</v>
      </c>
      <c r="D56" s="477">
        <v>5.1000000000000004E-3</v>
      </c>
      <c r="E56" s="477">
        <v>3.8999999999999998E-3</v>
      </c>
      <c r="F56" s="477">
        <v>3.0000000000000001E-3</v>
      </c>
      <c r="G56" s="477">
        <v>3.3999999999999998E-3</v>
      </c>
      <c r="H56" s="477">
        <v>3.7000000000000002E-3</v>
      </c>
      <c r="I56" s="477">
        <v>3.8E-3</v>
      </c>
      <c r="J56" s="477">
        <v>3.3999999999999998E-3</v>
      </c>
      <c r="K56" s="477">
        <v>3.5999999999999999E-3</v>
      </c>
      <c r="L56" s="477">
        <v>3.0999999999999999E-3</v>
      </c>
      <c r="M56" s="478">
        <v>2.5000000000000001E-3</v>
      </c>
    </row>
    <row r="57" spans="1:25" s="22" customFormat="1" ht="12.75" x14ac:dyDescent="0.2">
      <c r="A57" s="473" t="s">
        <v>524</v>
      </c>
      <c r="B57" s="474"/>
      <c r="C57" s="474"/>
      <c r="D57" s="474"/>
      <c r="E57" s="474"/>
      <c r="F57" s="474"/>
      <c r="G57" s="474"/>
      <c r="H57" s="474"/>
      <c r="I57" s="474"/>
      <c r="J57" s="474"/>
      <c r="K57" s="474"/>
      <c r="L57" s="474"/>
      <c r="M57" s="475"/>
    </row>
    <row r="58" spans="1:25" s="22" customFormat="1" ht="12.75" x14ac:dyDescent="0.2">
      <c r="A58" s="476" t="s">
        <v>522</v>
      </c>
      <c r="B58" s="477">
        <v>2.7400000000000001E-2</v>
      </c>
      <c r="C58" s="477">
        <v>2.6499999999999999E-2</v>
      </c>
      <c r="D58" s="477">
        <v>2.5499999999999998E-2</v>
      </c>
      <c r="E58" s="477">
        <v>2.3099999999999999E-2</v>
      </c>
      <c r="F58" s="477">
        <v>2.18E-2</v>
      </c>
      <c r="G58" s="477">
        <v>2.1299999999999999E-2</v>
      </c>
      <c r="H58" s="477">
        <v>2.1299999999999999E-2</v>
      </c>
      <c r="I58" s="477">
        <v>2.0799999999999999E-2</v>
      </c>
      <c r="J58" s="477">
        <v>2.06E-2</v>
      </c>
      <c r="K58" s="477">
        <v>2.0899999999999998E-2</v>
      </c>
      <c r="L58" s="477">
        <v>2.1700000000000001E-2</v>
      </c>
      <c r="M58" s="478">
        <v>2.1600000000000001E-2</v>
      </c>
    </row>
    <row r="59" spans="1:25" s="22" customFormat="1" ht="12.75" x14ac:dyDescent="0.2">
      <c r="A59" s="476" t="s">
        <v>48</v>
      </c>
      <c r="B59" s="477">
        <v>3.0000000000000001E-3</v>
      </c>
      <c r="C59" s="477">
        <v>2.5000000000000001E-3</v>
      </c>
      <c r="D59" s="477">
        <v>2.7000000000000001E-3</v>
      </c>
      <c r="E59" s="477">
        <v>2.8999999999999998E-3</v>
      </c>
      <c r="F59" s="477">
        <v>2.8E-3</v>
      </c>
      <c r="G59" s="477">
        <v>2.8999999999999998E-3</v>
      </c>
      <c r="H59" s="477">
        <v>2.8E-3</v>
      </c>
      <c r="I59" s="477">
        <v>2.7000000000000001E-3</v>
      </c>
      <c r="J59" s="477">
        <v>2.5000000000000001E-3</v>
      </c>
      <c r="K59" s="477">
        <v>2.2000000000000001E-3</v>
      </c>
      <c r="L59" s="477">
        <v>2.3E-3</v>
      </c>
      <c r="M59" s="478">
        <v>2.3999999999999998E-3</v>
      </c>
    </row>
    <row r="60" spans="1:25" s="22" customFormat="1" ht="12.75" x14ac:dyDescent="0.2">
      <c r="A60" s="479" t="s">
        <v>523</v>
      </c>
      <c r="B60" s="477">
        <v>5.7999999999999996E-3</v>
      </c>
      <c r="C60" s="477">
        <v>2.5999999999999999E-3</v>
      </c>
      <c r="D60" s="477">
        <v>2.3E-3</v>
      </c>
      <c r="E60" s="477">
        <v>1.6999999999999999E-3</v>
      </c>
      <c r="F60" s="477">
        <v>1.1000000000000001E-3</v>
      </c>
      <c r="G60" s="477">
        <v>1.2999999999999999E-3</v>
      </c>
      <c r="H60" s="477">
        <v>1.2999999999999999E-3</v>
      </c>
      <c r="I60" s="477">
        <v>1.2999999999999999E-3</v>
      </c>
      <c r="J60" s="477">
        <v>1.4E-3</v>
      </c>
      <c r="K60" s="477">
        <v>1.2999999999999999E-3</v>
      </c>
      <c r="L60" s="477">
        <v>1.1999999999999999E-3</v>
      </c>
      <c r="M60" s="478">
        <v>8.9999999999999998E-4</v>
      </c>
    </row>
    <row r="61" spans="1:25" s="22" customFormat="1" ht="12.75" x14ac:dyDescent="0.2">
      <c r="A61" s="473" t="s">
        <v>525</v>
      </c>
      <c r="B61" s="474"/>
      <c r="C61" s="474"/>
      <c r="D61" s="474"/>
      <c r="E61" s="474"/>
      <c r="F61" s="474"/>
      <c r="G61" s="474"/>
      <c r="H61" s="474"/>
      <c r="I61" s="474"/>
      <c r="J61" s="474"/>
      <c r="K61" s="474"/>
      <c r="L61" s="474"/>
      <c r="M61" s="475"/>
    </row>
    <row r="62" spans="1:25" s="22" customFormat="1" ht="12.75" x14ac:dyDescent="0.2">
      <c r="A62" s="476" t="s">
        <v>522</v>
      </c>
      <c r="B62" s="480">
        <v>8.92</v>
      </c>
      <c r="C62" s="480">
        <v>8.42</v>
      </c>
      <c r="D62" s="480">
        <v>8.06</v>
      </c>
      <c r="E62" s="480">
        <v>7.51</v>
      </c>
      <c r="F62" s="480">
        <v>7.13</v>
      </c>
      <c r="G62" s="480">
        <v>7.38</v>
      </c>
      <c r="H62" s="480">
        <v>7.13</v>
      </c>
      <c r="I62" s="480">
        <v>6.77</v>
      </c>
      <c r="J62" s="480">
        <v>6.85</v>
      </c>
      <c r="K62" s="480">
        <v>6.81</v>
      </c>
      <c r="L62" s="480">
        <v>6.83</v>
      </c>
      <c r="M62" s="481">
        <v>6.74</v>
      </c>
    </row>
    <row r="63" spans="1:25" s="22" customFormat="1" ht="12.75" x14ac:dyDescent="0.2">
      <c r="A63" s="476" t="s">
        <v>48</v>
      </c>
      <c r="B63" s="480">
        <v>0.1</v>
      </c>
      <c r="C63" s="480">
        <v>0.1</v>
      </c>
      <c r="D63" s="480">
        <v>0.09</v>
      </c>
      <c r="E63" s="480">
        <v>0.08</v>
      </c>
      <c r="F63" s="480">
        <v>0.09</v>
      </c>
      <c r="G63" s="480">
        <v>0.09</v>
      </c>
      <c r="H63" s="480">
        <v>0.09</v>
      </c>
      <c r="I63" s="480">
        <v>0.08</v>
      </c>
      <c r="J63" s="480">
        <v>7.0000000000000007E-2</v>
      </c>
      <c r="K63" s="480">
        <v>0.08</v>
      </c>
      <c r="L63" s="480">
        <v>7.0000000000000007E-2</v>
      </c>
      <c r="M63" s="481">
        <v>7.0000000000000007E-2</v>
      </c>
    </row>
    <row r="64" spans="1:25" s="22" customFormat="1" ht="12.75" x14ac:dyDescent="0.2">
      <c r="A64" s="482" t="s">
        <v>523</v>
      </c>
      <c r="B64" s="483">
        <v>0.89</v>
      </c>
      <c r="C64" s="483">
        <v>0.71</v>
      </c>
      <c r="D64" s="483">
        <v>0.41</v>
      </c>
      <c r="E64" s="483">
        <v>0.8</v>
      </c>
      <c r="F64" s="483">
        <v>0.67</v>
      </c>
      <c r="G64" s="484" t="s">
        <v>526</v>
      </c>
      <c r="H64" s="484" t="s">
        <v>526</v>
      </c>
      <c r="I64" s="484" t="s">
        <v>526</v>
      </c>
      <c r="J64" s="484" t="s">
        <v>526</v>
      </c>
      <c r="K64" s="484" t="s">
        <v>526</v>
      </c>
      <c r="L64" s="484" t="s">
        <v>526</v>
      </c>
      <c r="M64" s="485" t="s">
        <v>526</v>
      </c>
    </row>
    <row r="66" spans="1:25" s="52" customFormat="1" ht="12.75" x14ac:dyDescent="0.2">
      <c r="A66" s="486" t="s">
        <v>56</v>
      </c>
      <c r="B66" s="487"/>
      <c r="C66" s="487"/>
      <c r="D66" s="487"/>
      <c r="E66" s="487"/>
      <c r="F66" s="487"/>
      <c r="G66" s="487"/>
      <c r="H66" s="487"/>
      <c r="I66" s="487"/>
      <c r="J66" s="487"/>
      <c r="K66" s="487"/>
      <c r="L66" s="487"/>
      <c r="M66" s="487"/>
      <c r="N66" s="453"/>
      <c r="O66" s="453"/>
      <c r="P66" s="453"/>
      <c r="Q66" s="453"/>
      <c r="R66" s="453"/>
      <c r="S66" s="453"/>
      <c r="T66" s="453"/>
      <c r="U66" s="453"/>
      <c r="V66" s="453"/>
      <c r="W66" s="453"/>
      <c r="X66" s="453"/>
      <c r="Y66" s="453"/>
    </row>
    <row r="67" spans="1:25" s="52" customFormat="1" ht="50.25" customHeight="1" x14ac:dyDescent="0.2">
      <c r="A67" s="627" t="s">
        <v>527</v>
      </c>
      <c r="B67" s="627"/>
      <c r="C67" s="627"/>
      <c r="D67" s="627"/>
      <c r="E67" s="627"/>
      <c r="F67" s="627"/>
      <c r="G67" s="627"/>
      <c r="H67" s="627"/>
      <c r="I67" s="627"/>
      <c r="J67" s="627"/>
      <c r="K67" s="627"/>
      <c r="L67" s="627"/>
      <c r="M67" s="488"/>
      <c r="N67" s="453"/>
      <c r="O67" s="453"/>
      <c r="P67" s="453"/>
      <c r="Q67" s="453"/>
      <c r="R67" s="453"/>
      <c r="S67" s="453"/>
      <c r="T67" s="453"/>
      <c r="U67" s="453"/>
      <c r="V67" s="453"/>
      <c r="W67" s="453"/>
      <c r="X67" s="453"/>
      <c r="Y67" s="453"/>
    </row>
    <row r="68" spans="1:25" s="52" customFormat="1" ht="29.25" customHeight="1" x14ac:dyDescent="0.2">
      <c r="A68" s="628" t="s">
        <v>528</v>
      </c>
      <c r="B68" s="628"/>
      <c r="C68" s="628"/>
      <c r="D68" s="628"/>
      <c r="E68" s="628"/>
      <c r="F68" s="628"/>
      <c r="G68" s="628"/>
      <c r="H68" s="628"/>
      <c r="I68" s="628"/>
      <c r="J68" s="628"/>
      <c r="K68" s="628"/>
      <c r="L68" s="628"/>
      <c r="M68" s="489"/>
      <c r="N68" s="453"/>
      <c r="O68" s="453"/>
      <c r="P68" s="453"/>
      <c r="Q68" s="453"/>
      <c r="R68" s="453"/>
      <c r="S68" s="453"/>
      <c r="T68" s="453"/>
      <c r="U68" s="453"/>
      <c r="V68" s="453"/>
      <c r="W68" s="453"/>
      <c r="X68" s="453"/>
      <c r="Y68" s="453"/>
    </row>
    <row r="69" spans="1:25" s="52" customFormat="1" ht="12.75" x14ac:dyDescent="0.2">
      <c r="A69" s="490" t="s">
        <v>529</v>
      </c>
      <c r="B69" s="491"/>
      <c r="C69" s="491"/>
      <c r="D69" s="491"/>
      <c r="E69" s="491"/>
      <c r="F69" s="491"/>
      <c r="G69" s="491"/>
      <c r="H69" s="491"/>
      <c r="I69" s="491"/>
      <c r="J69" s="491"/>
      <c r="K69" s="491"/>
      <c r="L69" s="491"/>
      <c r="M69" s="491"/>
      <c r="N69" s="453"/>
      <c r="O69" s="453"/>
      <c r="P69" s="453"/>
      <c r="Q69" s="453"/>
      <c r="R69" s="453"/>
      <c r="S69" s="453"/>
      <c r="T69" s="453"/>
      <c r="U69" s="453"/>
      <c r="V69" s="453"/>
      <c r="W69" s="453"/>
      <c r="X69" s="453"/>
      <c r="Y69" s="453"/>
    </row>
    <row r="70" spans="1:25" s="52" customFormat="1" ht="12.75" x14ac:dyDescent="0.2">
      <c r="A70" s="532" t="s">
        <v>576</v>
      </c>
      <c r="B70" s="533"/>
      <c r="C70" s="491"/>
      <c r="D70" s="491"/>
      <c r="E70" s="491"/>
      <c r="F70" s="491"/>
      <c r="G70" s="491"/>
      <c r="H70" s="491"/>
      <c r="I70" s="491"/>
      <c r="J70" s="491"/>
      <c r="K70" s="491"/>
      <c r="L70" s="491"/>
      <c r="M70" s="491"/>
      <c r="N70" s="453"/>
      <c r="O70" s="453"/>
      <c r="P70" s="453"/>
      <c r="Q70" s="453"/>
      <c r="R70" s="453"/>
      <c r="S70" s="453"/>
      <c r="T70" s="453"/>
      <c r="U70" s="453"/>
      <c r="V70" s="453"/>
      <c r="W70" s="453"/>
      <c r="X70" s="453"/>
      <c r="Y70" s="453"/>
    </row>
    <row r="71" spans="1:25" s="52" customFormat="1" ht="12.75" x14ac:dyDescent="0.2">
      <c r="A71" s="490" t="s">
        <v>530</v>
      </c>
      <c r="B71" s="491"/>
      <c r="C71" s="491"/>
      <c r="D71" s="491"/>
      <c r="E71" s="491"/>
      <c r="F71" s="491"/>
      <c r="G71" s="491"/>
      <c r="H71" s="491"/>
      <c r="I71" s="491"/>
      <c r="J71" s="491"/>
      <c r="K71" s="491"/>
      <c r="L71" s="491"/>
      <c r="M71" s="491"/>
      <c r="N71" s="453"/>
      <c r="O71" s="453"/>
      <c r="P71" s="453"/>
      <c r="Q71" s="453"/>
      <c r="R71" s="453"/>
      <c r="S71" s="453"/>
      <c r="T71" s="453"/>
      <c r="U71" s="453"/>
      <c r="V71" s="453"/>
      <c r="W71" s="453"/>
      <c r="X71" s="453"/>
      <c r="Y71" s="453"/>
    </row>
    <row r="72" spans="1:25" s="52" customFormat="1" ht="26.25" customHeight="1" x14ac:dyDescent="0.2">
      <c r="A72" s="627" t="s">
        <v>531</v>
      </c>
      <c r="B72" s="629"/>
      <c r="C72" s="629"/>
      <c r="D72" s="629"/>
      <c r="E72" s="629"/>
      <c r="F72" s="629"/>
      <c r="G72" s="629"/>
      <c r="H72" s="629"/>
      <c r="I72" s="629"/>
      <c r="J72" s="629"/>
      <c r="K72" s="629"/>
      <c r="L72" s="629"/>
      <c r="M72" s="492"/>
      <c r="N72" s="453"/>
      <c r="O72" s="453"/>
      <c r="P72" s="453"/>
      <c r="Q72" s="453"/>
      <c r="R72" s="453"/>
      <c r="S72" s="453"/>
      <c r="T72" s="453"/>
      <c r="U72" s="453"/>
      <c r="V72" s="453"/>
      <c r="W72" s="453"/>
      <c r="X72" s="453"/>
      <c r="Y72" s="453"/>
    </row>
  </sheetData>
  <mergeCells count="3">
    <mergeCell ref="A67:L67"/>
    <mergeCell ref="A68:L68"/>
    <mergeCell ref="A72:L72"/>
  </mergeCells>
  <hyperlinks>
    <hyperlink ref="N1" location="MENU!A1" display="MENU"/>
  </hyperlinks>
  <pageMargins left="0.23622047244094491" right="0.23622047244094491" top="0.74803149606299213" bottom="0.74803149606299213" header="0.31496062992125984" footer="0.31496062992125984"/>
  <pageSetup paperSize="9"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981BF"/>
    <pageSetUpPr fitToPage="1"/>
  </sheetPr>
  <dimension ref="A1:N30"/>
  <sheetViews>
    <sheetView view="pageBreakPreview" zoomScaleNormal="100" zoomScaleSheetLayoutView="100" workbookViewId="0"/>
  </sheetViews>
  <sheetFormatPr defaultRowHeight="15" x14ac:dyDescent="0.25"/>
  <cols>
    <col min="1" max="1" width="51" customWidth="1"/>
  </cols>
  <sheetData>
    <row r="1" spans="1:14" ht="27" customHeight="1" thickBot="1" x14ac:dyDescent="0.3">
      <c r="A1" s="450" t="s">
        <v>532</v>
      </c>
      <c r="B1" s="450">
        <v>2007</v>
      </c>
      <c r="C1" s="450">
        <v>2008</v>
      </c>
      <c r="D1" s="450">
        <v>2009</v>
      </c>
      <c r="E1" s="450">
        <v>2010</v>
      </c>
      <c r="F1" s="450">
        <v>2011</v>
      </c>
      <c r="G1" s="450">
        <v>2012</v>
      </c>
      <c r="H1" s="450">
        <v>2013</v>
      </c>
      <c r="I1" s="450">
        <v>2014</v>
      </c>
      <c r="J1" s="450">
        <v>2015</v>
      </c>
      <c r="K1" s="450">
        <v>2016</v>
      </c>
      <c r="L1" s="450">
        <v>2017</v>
      </c>
      <c r="M1" s="450">
        <v>2018</v>
      </c>
      <c r="N1" s="107" t="s">
        <v>215</v>
      </c>
    </row>
    <row r="2" spans="1:14" s="495" customFormat="1" ht="15.75" thickBot="1" x14ac:dyDescent="0.3">
      <c r="A2" s="493" t="s">
        <v>533</v>
      </c>
      <c r="B2" s="493"/>
      <c r="C2" s="493"/>
      <c r="D2" s="493"/>
      <c r="E2" s="493"/>
      <c r="F2" s="493"/>
      <c r="G2" s="493"/>
      <c r="H2" s="493"/>
      <c r="I2" s="493"/>
      <c r="J2" s="493"/>
      <c r="K2" s="493"/>
      <c r="L2" s="493"/>
      <c r="M2" s="493"/>
      <c r="N2" s="494"/>
    </row>
    <row r="3" spans="1:14" ht="15.75" thickTop="1" x14ac:dyDescent="0.25">
      <c r="A3" s="473" t="s">
        <v>521</v>
      </c>
      <c r="B3" s="474"/>
      <c r="C3" s="474"/>
      <c r="D3" s="474"/>
      <c r="E3" s="474"/>
      <c r="F3" s="474"/>
      <c r="G3" s="474"/>
      <c r="H3" s="474"/>
      <c r="I3" s="474"/>
      <c r="J3" s="474"/>
      <c r="K3" s="474"/>
      <c r="L3" s="474"/>
      <c r="M3" s="474"/>
    </row>
    <row r="4" spans="1:14" x14ac:dyDescent="0.25">
      <c r="A4" s="476" t="s">
        <v>534</v>
      </c>
      <c r="B4" s="474">
        <v>0.84599999999999997</v>
      </c>
      <c r="C4" s="474">
        <v>0.83699999999999997</v>
      </c>
      <c r="D4" s="474">
        <v>0.82699999999999996</v>
      </c>
      <c r="E4" s="474">
        <v>0.82420000000000004</v>
      </c>
      <c r="F4" s="474">
        <v>0.82099999999999995</v>
      </c>
      <c r="G4" s="474">
        <v>0.82499999999999996</v>
      </c>
      <c r="H4" s="474">
        <v>0.82</v>
      </c>
      <c r="I4" s="474">
        <v>0.82</v>
      </c>
      <c r="J4" s="474">
        <v>0.81299999999999994</v>
      </c>
      <c r="K4" s="474">
        <v>0.77100000000000002</v>
      </c>
      <c r="L4" s="474">
        <v>0.79900000000000004</v>
      </c>
      <c r="M4" s="474">
        <v>0.81499999999999995</v>
      </c>
    </row>
    <row r="5" spans="1:14" x14ac:dyDescent="0.25">
      <c r="A5" s="476" t="s">
        <v>48</v>
      </c>
      <c r="B5" s="474">
        <v>0.70699999999999996</v>
      </c>
      <c r="C5" s="474">
        <v>0.69599999999999995</v>
      </c>
      <c r="D5" s="474">
        <v>0.72499999999999998</v>
      </c>
      <c r="E5" s="474">
        <v>0.73080000000000001</v>
      </c>
      <c r="F5" s="474">
        <v>0.71499999999999997</v>
      </c>
      <c r="G5" s="474">
        <v>0.71799999999999997</v>
      </c>
      <c r="H5" s="474">
        <v>0.72499999999999998</v>
      </c>
      <c r="I5" s="474">
        <v>0.72399999999999998</v>
      </c>
      <c r="J5" s="474">
        <v>0.72699999999999998</v>
      </c>
      <c r="K5" s="474">
        <v>0.69</v>
      </c>
      <c r="L5" s="474">
        <v>0.69799999999999995</v>
      </c>
      <c r="M5" s="474">
        <v>0.69499999999999995</v>
      </c>
    </row>
    <row r="6" spans="1:14" x14ac:dyDescent="0.25">
      <c r="A6" s="479" t="s">
        <v>523</v>
      </c>
      <c r="B6" s="474">
        <v>0.7</v>
      </c>
      <c r="C6" s="474">
        <v>0.69</v>
      </c>
      <c r="D6" s="474">
        <v>0.68</v>
      </c>
      <c r="E6" s="474">
        <v>0.66300000000000003</v>
      </c>
      <c r="F6" s="474">
        <v>0.623</v>
      </c>
      <c r="G6" s="474">
        <v>0.69799999999999995</v>
      </c>
      <c r="H6" s="474">
        <v>0.77800000000000002</v>
      </c>
      <c r="I6" s="474">
        <v>0.75900000000000001</v>
      </c>
      <c r="J6" s="474">
        <v>0.74099999999999999</v>
      </c>
      <c r="K6" s="474">
        <v>0.70599999999999996</v>
      </c>
      <c r="L6" s="474">
        <v>0.70699999999999996</v>
      </c>
      <c r="M6" s="474">
        <v>0.65900000000000003</v>
      </c>
    </row>
    <row r="7" spans="1:14" x14ac:dyDescent="0.25">
      <c r="A7" s="473" t="s">
        <v>524</v>
      </c>
      <c r="B7" s="474"/>
      <c r="C7" s="474"/>
      <c r="D7" s="474"/>
      <c r="E7" s="474"/>
      <c r="F7" s="474"/>
      <c r="G7" s="474"/>
      <c r="H7" s="474"/>
      <c r="I7" s="474"/>
      <c r="J7" s="474"/>
      <c r="K7" s="474"/>
      <c r="L7" s="474"/>
      <c r="M7" s="474"/>
    </row>
    <row r="8" spans="1:14" x14ac:dyDescent="0.25">
      <c r="A8" s="476" t="s">
        <v>534</v>
      </c>
      <c r="B8" s="474">
        <v>0.96499999999999997</v>
      </c>
      <c r="C8" s="474">
        <v>0.96399999999999997</v>
      </c>
      <c r="D8" s="474">
        <v>0.96</v>
      </c>
      <c r="E8" s="474">
        <v>0.95789999999999997</v>
      </c>
      <c r="F8" s="474">
        <v>0.95699999999999996</v>
      </c>
      <c r="G8" s="474">
        <v>0.96199999999999997</v>
      </c>
      <c r="H8" s="474">
        <v>0.96</v>
      </c>
      <c r="I8" s="474">
        <v>0.95799999999999996</v>
      </c>
      <c r="J8" s="474">
        <v>0.95499999999999996</v>
      </c>
      <c r="K8" s="474">
        <v>0.94199999999999995</v>
      </c>
      <c r="L8" s="474">
        <v>0.94699999999999995</v>
      </c>
      <c r="M8" s="474">
        <v>0.94599999999999995</v>
      </c>
    </row>
    <row r="9" spans="1:14" x14ac:dyDescent="0.25">
      <c r="A9" s="476" t="s">
        <v>48</v>
      </c>
      <c r="B9" s="474">
        <v>0.78300000000000003</v>
      </c>
      <c r="C9" s="474">
        <v>0.77</v>
      </c>
      <c r="D9" s="474">
        <v>0.74119999999999997</v>
      </c>
      <c r="E9" s="474">
        <v>0.73829999999999996</v>
      </c>
      <c r="F9" s="474">
        <v>0.72599999999999998</v>
      </c>
      <c r="G9" s="474">
        <v>0.74399999999999999</v>
      </c>
      <c r="H9" s="474">
        <v>0.749</v>
      </c>
      <c r="I9" s="474">
        <v>0.752</v>
      </c>
      <c r="J9" s="474">
        <v>0.76</v>
      </c>
      <c r="K9" s="474">
        <v>0.73599999999999999</v>
      </c>
      <c r="L9" s="474">
        <v>0.754</v>
      </c>
      <c r="M9" s="474">
        <v>0.74099999999999999</v>
      </c>
    </row>
    <row r="10" spans="1:14" x14ac:dyDescent="0.25">
      <c r="A10" s="479" t="s">
        <v>523</v>
      </c>
      <c r="B10" s="474">
        <v>0.84</v>
      </c>
      <c r="C10" s="474">
        <v>0.79</v>
      </c>
      <c r="D10" s="474">
        <v>0.73</v>
      </c>
      <c r="E10" s="474">
        <v>0.82699999999999996</v>
      </c>
      <c r="F10" s="474">
        <v>0.81200000000000006</v>
      </c>
      <c r="G10" s="474">
        <v>0.80500000000000005</v>
      </c>
      <c r="H10" s="474">
        <v>0.90800000000000003</v>
      </c>
      <c r="I10" s="474">
        <v>0.89</v>
      </c>
      <c r="J10" s="474">
        <v>0.86099999999999999</v>
      </c>
      <c r="K10" s="474">
        <v>0.89500000000000002</v>
      </c>
      <c r="L10" s="474">
        <v>0.90900000000000003</v>
      </c>
      <c r="M10" s="474">
        <v>0.88400000000000001</v>
      </c>
    </row>
    <row r="11" spans="1:14" x14ac:dyDescent="0.25">
      <c r="A11" s="473" t="s">
        <v>535</v>
      </c>
      <c r="B11" s="496"/>
      <c r="C11" s="496"/>
      <c r="D11" s="496"/>
      <c r="E11" s="496"/>
      <c r="F11" s="496"/>
      <c r="G11" s="496"/>
      <c r="H11" s="496"/>
      <c r="I11" s="496"/>
      <c r="J11" s="474"/>
      <c r="K11" s="474"/>
      <c r="L11" s="474"/>
      <c r="M11" s="474"/>
    </row>
    <row r="12" spans="1:14" x14ac:dyDescent="0.25">
      <c r="A12" s="497" t="s">
        <v>534</v>
      </c>
      <c r="B12" s="498" t="s">
        <v>526</v>
      </c>
      <c r="C12" s="498" t="s">
        <v>526</v>
      </c>
      <c r="D12" s="498" t="s">
        <v>526</v>
      </c>
      <c r="E12" s="496">
        <v>0.79700000000000004</v>
      </c>
      <c r="F12" s="477">
        <v>0.82</v>
      </c>
      <c r="G12" s="477">
        <v>0.80600000000000005</v>
      </c>
      <c r="H12" s="477">
        <v>0.81599999999999995</v>
      </c>
      <c r="I12" s="477">
        <v>0.81399999999999995</v>
      </c>
      <c r="J12" s="477">
        <v>0.79300000000000004</v>
      </c>
      <c r="K12" s="477">
        <v>0.77700000000000002</v>
      </c>
      <c r="L12" s="477">
        <v>0.81499999999999995</v>
      </c>
      <c r="M12" s="477">
        <v>0.82689999999999997</v>
      </c>
    </row>
    <row r="13" spans="1:14" x14ac:dyDescent="0.25">
      <c r="A13" s="71" t="s">
        <v>523</v>
      </c>
      <c r="B13" s="496">
        <v>0.53</v>
      </c>
      <c r="C13" s="496">
        <v>0.42</v>
      </c>
      <c r="D13" s="496">
        <v>0.42</v>
      </c>
      <c r="E13" s="496">
        <v>0.47199999999999998</v>
      </c>
      <c r="F13" s="496">
        <v>0.501</v>
      </c>
      <c r="G13" s="498" t="s">
        <v>526</v>
      </c>
      <c r="H13" s="498" t="s">
        <v>526</v>
      </c>
      <c r="I13" s="498" t="s">
        <v>526</v>
      </c>
      <c r="J13" s="498" t="s">
        <v>526</v>
      </c>
      <c r="K13" s="498" t="s">
        <v>526</v>
      </c>
      <c r="L13" s="498" t="s">
        <v>526</v>
      </c>
      <c r="M13" s="498" t="s">
        <v>526</v>
      </c>
    </row>
    <row r="14" spans="1:14" x14ac:dyDescent="0.25">
      <c r="A14" s="71"/>
      <c r="B14" s="480"/>
      <c r="C14" s="480"/>
      <c r="D14" s="480"/>
      <c r="E14" s="480"/>
      <c r="F14" s="480"/>
      <c r="G14" s="498"/>
      <c r="H14" s="498"/>
      <c r="I14" s="498"/>
      <c r="J14" s="498"/>
      <c r="K14" s="498"/>
      <c r="L14" s="498"/>
      <c r="M14" s="498"/>
    </row>
    <row r="15" spans="1:14" ht="15.75" thickBot="1" x14ac:dyDescent="0.3">
      <c r="A15" s="493" t="s">
        <v>536</v>
      </c>
      <c r="B15" s="493"/>
      <c r="C15" s="493"/>
      <c r="D15" s="493"/>
      <c r="E15" s="493"/>
      <c r="F15" s="493"/>
      <c r="G15" s="493"/>
      <c r="H15" s="493"/>
      <c r="I15" s="493"/>
      <c r="J15" s="493"/>
      <c r="K15" s="493"/>
      <c r="L15" s="493"/>
      <c r="M15" s="493"/>
    </row>
    <row r="16" spans="1:14" ht="15.75" thickTop="1" x14ac:dyDescent="0.25">
      <c r="A16" s="473" t="s">
        <v>521</v>
      </c>
      <c r="B16" s="474"/>
      <c r="C16" s="474"/>
      <c r="D16" s="474"/>
      <c r="E16" s="474"/>
      <c r="F16" s="474"/>
      <c r="G16" s="474"/>
      <c r="H16" s="474"/>
      <c r="I16" s="474"/>
      <c r="J16" s="474"/>
      <c r="K16" s="474"/>
      <c r="L16" s="474"/>
      <c r="M16" s="474"/>
    </row>
    <row r="17" spans="1:13" x14ac:dyDescent="0.25">
      <c r="A17" s="474" t="s">
        <v>537</v>
      </c>
      <c r="B17" s="474">
        <v>0.93100000000000005</v>
      </c>
      <c r="C17" s="474">
        <v>0.92800000000000005</v>
      </c>
      <c r="D17" s="474">
        <v>0.92889999999999995</v>
      </c>
      <c r="E17" s="474">
        <v>0.93230000000000002</v>
      </c>
      <c r="F17" s="474">
        <v>0.92900000000000005</v>
      </c>
      <c r="G17" s="474">
        <v>0.91800000000000004</v>
      </c>
      <c r="H17" s="474">
        <v>0.91500000000000004</v>
      </c>
      <c r="I17" s="474">
        <v>0.92400000000000004</v>
      </c>
      <c r="J17" s="474">
        <v>0.93100000000000005</v>
      </c>
      <c r="K17" s="474">
        <v>0.93400000000000005</v>
      </c>
      <c r="L17" s="474">
        <v>0.93899999999999995</v>
      </c>
      <c r="M17" s="474">
        <v>0.94599999999999995</v>
      </c>
    </row>
    <row r="18" spans="1:13" x14ac:dyDescent="0.25">
      <c r="A18" s="474" t="s">
        <v>538</v>
      </c>
      <c r="B18" s="496" t="s">
        <v>526</v>
      </c>
      <c r="C18" s="496" t="s">
        <v>526</v>
      </c>
      <c r="D18" s="496" t="s">
        <v>526</v>
      </c>
      <c r="E18" s="496" t="s">
        <v>526</v>
      </c>
      <c r="F18" s="496" t="s">
        <v>526</v>
      </c>
      <c r="G18" s="496" t="s">
        <v>526</v>
      </c>
      <c r="H18" s="496" t="s">
        <v>526</v>
      </c>
      <c r="I18" s="496" t="s">
        <v>526</v>
      </c>
      <c r="J18" s="474">
        <v>0.96530000000000005</v>
      </c>
      <c r="K18" s="474">
        <v>0.96799999999999997</v>
      </c>
      <c r="L18" s="474">
        <v>0.96450000000000002</v>
      </c>
      <c r="M18" s="474">
        <v>0.96699999999999997</v>
      </c>
    </row>
    <row r="19" spans="1:13" x14ac:dyDescent="0.25">
      <c r="A19" s="474" t="s">
        <v>539</v>
      </c>
      <c r="B19" s="474">
        <v>0.97299999999999998</v>
      </c>
      <c r="C19" s="474">
        <v>0.97499999999999998</v>
      </c>
      <c r="D19" s="474">
        <v>0.97609999999999997</v>
      </c>
      <c r="E19" s="474">
        <v>0.97689999999999999</v>
      </c>
      <c r="F19" s="474">
        <v>0.97699999999999998</v>
      </c>
      <c r="G19" s="474">
        <v>0.97799999999999998</v>
      </c>
      <c r="H19" s="474">
        <v>0.97699999999999998</v>
      </c>
      <c r="I19" s="474">
        <v>0.97799999999999998</v>
      </c>
      <c r="J19" s="474">
        <v>0.97799999999999998</v>
      </c>
      <c r="K19" s="474">
        <v>0.98</v>
      </c>
      <c r="L19" s="474">
        <v>0.98199999999999998</v>
      </c>
      <c r="M19" s="474">
        <v>0.98</v>
      </c>
    </row>
    <row r="20" spans="1:13" x14ac:dyDescent="0.25">
      <c r="A20" s="474" t="s">
        <v>540</v>
      </c>
      <c r="B20" s="474">
        <v>0.97199999999999998</v>
      </c>
      <c r="C20" s="474">
        <v>0.96599999999999997</v>
      </c>
      <c r="D20" s="474">
        <v>0.96</v>
      </c>
      <c r="E20" s="474">
        <v>0.96</v>
      </c>
      <c r="F20" s="474">
        <v>0.96399999999999997</v>
      </c>
      <c r="G20" s="474">
        <v>0.98299999999999998</v>
      </c>
      <c r="H20" s="474">
        <v>0.96399999999999997</v>
      </c>
      <c r="I20" s="474">
        <v>0.97099999999999997</v>
      </c>
      <c r="J20" s="474">
        <v>0.97799999999999998</v>
      </c>
      <c r="K20" s="474">
        <v>0.98299999999999998</v>
      </c>
      <c r="L20" s="474">
        <v>0.98499999999999999</v>
      </c>
      <c r="M20" s="474">
        <v>0.97899999999999998</v>
      </c>
    </row>
    <row r="21" spans="1:13" x14ac:dyDescent="0.25">
      <c r="A21" s="499" t="s">
        <v>524</v>
      </c>
      <c r="B21" s="474"/>
      <c r="C21" s="474"/>
      <c r="D21" s="474"/>
      <c r="E21" s="474"/>
      <c r="F21" s="474"/>
      <c r="G21" s="474"/>
      <c r="H21" s="474"/>
      <c r="I21" s="474"/>
      <c r="J21" s="474"/>
      <c r="K21" s="474"/>
      <c r="L21" s="474"/>
      <c r="M21" s="474"/>
    </row>
    <row r="22" spans="1:13" x14ac:dyDescent="0.25">
      <c r="A22" s="474" t="s">
        <v>537</v>
      </c>
      <c r="B22" s="474">
        <v>0.94899999999999995</v>
      </c>
      <c r="C22" s="474">
        <v>0.94599999999999995</v>
      </c>
      <c r="D22" s="474">
        <v>0.94410000000000005</v>
      </c>
      <c r="E22" s="474">
        <v>0.94499999999999995</v>
      </c>
      <c r="F22" s="474">
        <v>0.94699999999999995</v>
      </c>
      <c r="G22" s="474">
        <v>0.94199999999999995</v>
      </c>
      <c r="H22" s="474">
        <v>0.94099999999999995</v>
      </c>
      <c r="I22" s="474">
        <v>0.94699999999999995</v>
      </c>
      <c r="J22" s="500">
        <v>0.94199999999999995</v>
      </c>
      <c r="K22" s="500">
        <v>0.94099999999999995</v>
      </c>
      <c r="L22" s="500">
        <v>0.94</v>
      </c>
      <c r="M22" s="500">
        <v>0.94399999999999995</v>
      </c>
    </row>
    <row r="23" spans="1:13" x14ac:dyDescent="0.25">
      <c r="A23" s="474" t="s">
        <v>538</v>
      </c>
      <c r="B23" s="496" t="s">
        <v>526</v>
      </c>
      <c r="C23" s="496" t="s">
        <v>526</v>
      </c>
      <c r="D23" s="496" t="s">
        <v>526</v>
      </c>
      <c r="E23" s="496" t="s">
        <v>526</v>
      </c>
      <c r="F23" s="496" t="s">
        <v>526</v>
      </c>
      <c r="G23" s="496" t="s">
        <v>526</v>
      </c>
      <c r="H23" s="496" t="s">
        <v>526</v>
      </c>
      <c r="I23" s="496" t="s">
        <v>526</v>
      </c>
      <c r="J23" s="496">
        <v>0.96299999999999997</v>
      </c>
      <c r="K23" s="474">
        <v>0.96589999999999998</v>
      </c>
      <c r="L23" s="500">
        <v>0.96199999999999997</v>
      </c>
      <c r="M23" s="500">
        <v>0.96099999999999997</v>
      </c>
    </row>
    <row r="24" spans="1:13" x14ac:dyDescent="0.25">
      <c r="A24" s="474" t="s">
        <v>539</v>
      </c>
      <c r="B24" s="474">
        <v>0.96899999999999997</v>
      </c>
      <c r="C24" s="474">
        <v>0.97</v>
      </c>
      <c r="D24" s="474">
        <v>0.96560000000000001</v>
      </c>
      <c r="E24" s="474">
        <v>0.97170000000000001</v>
      </c>
      <c r="F24" s="474">
        <v>0.97399999999999998</v>
      </c>
      <c r="G24" s="474">
        <v>0.97299999999999998</v>
      </c>
      <c r="H24" s="474">
        <v>0.97299999999999998</v>
      </c>
      <c r="I24" s="474">
        <v>0.97199999999999998</v>
      </c>
      <c r="J24" s="500">
        <v>0.97299999999999998</v>
      </c>
      <c r="K24" s="500">
        <v>0.97099999999999997</v>
      </c>
      <c r="L24" s="500">
        <v>0.97399999999999998</v>
      </c>
      <c r="M24" s="500">
        <v>0.97599999999999998</v>
      </c>
    </row>
    <row r="25" spans="1:13" x14ac:dyDescent="0.25">
      <c r="A25" s="474" t="s">
        <v>540</v>
      </c>
      <c r="B25" s="474">
        <v>0.97399999999999998</v>
      </c>
      <c r="C25" s="474">
        <v>0.93300000000000005</v>
      </c>
      <c r="D25" s="474">
        <v>0.96799999999999997</v>
      </c>
      <c r="E25" s="474">
        <v>0.91</v>
      </c>
      <c r="F25" s="474">
        <v>0.91300000000000003</v>
      </c>
      <c r="G25" s="474">
        <v>0.94799999999999995</v>
      </c>
      <c r="H25" s="474">
        <v>0.96399999999999997</v>
      </c>
      <c r="I25" s="474">
        <v>0.97099999999999997</v>
      </c>
      <c r="J25" s="474">
        <v>0.996</v>
      </c>
      <c r="K25" s="474">
        <v>0.997</v>
      </c>
      <c r="L25" s="474">
        <v>0.997</v>
      </c>
      <c r="M25" s="474">
        <v>0.997</v>
      </c>
    </row>
    <row r="26" spans="1:13" x14ac:dyDescent="0.25">
      <c r="A26" s="499" t="s">
        <v>535</v>
      </c>
      <c r="B26" s="474"/>
      <c r="C26" s="474"/>
      <c r="D26" s="474"/>
      <c r="E26" s="474"/>
      <c r="F26" s="474"/>
      <c r="G26" s="474"/>
      <c r="H26" s="474"/>
      <c r="I26" s="474"/>
      <c r="J26" s="474"/>
      <c r="K26" s="474"/>
      <c r="L26" s="474"/>
      <c r="M26" s="474"/>
    </row>
    <row r="27" spans="1:13" x14ac:dyDescent="0.25">
      <c r="A27" s="474" t="s">
        <v>534</v>
      </c>
      <c r="B27" s="477">
        <v>0.94499999999999995</v>
      </c>
      <c r="C27" s="477">
        <v>0.94099999999999995</v>
      </c>
      <c r="D27" s="477">
        <v>0.94</v>
      </c>
      <c r="E27" s="477">
        <v>0.93799999999999994</v>
      </c>
      <c r="F27" s="477">
        <v>0.94099999999999995</v>
      </c>
      <c r="G27" s="477">
        <v>0.93200000000000005</v>
      </c>
      <c r="H27" s="477">
        <v>0.93</v>
      </c>
      <c r="I27" s="477">
        <v>0.93300000000000005</v>
      </c>
      <c r="J27" s="477">
        <v>0.93799999999999994</v>
      </c>
      <c r="K27" s="477">
        <v>0.95</v>
      </c>
      <c r="L27" s="477">
        <v>0.95599999999999996</v>
      </c>
      <c r="M27" s="477">
        <v>0.95899999999999996</v>
      </c>
    </row>
    <row r="28" spans="1:13" x14ac:dyDescent="0.25">
      <c r="A28" s="474" t="s">
        <v>541</v>
      </c>
      <c r="B28" s="477">
        <v>0.96499999999999997</v>
      </c>
      <c r="C28" s="477">
        <v>0.97099999999999997</v>
      </c>
      <c r="D28" s="477">
        <v>0.97399999999999998</v>
      </c>
      <c r="E28" s="477">
        <v>0.96899999999999997</v>
      </c>
      <c r="F28" s="477">
        <v>0.96299999999999997</v>
      </c>
      <c r="G28" s="477">
        <v>0.96799999999999997</v>
      </c>
      <c r="H28" s="477">
        <v>0.95799999999999996</v>
      </c>
      <c r="I28" s="477">
        <v>0.95099999999999996</v>
      </c>
      <c r="J28" s="477">
        <v>0.96299999999999997</v>
      </c>
      <c r="K28" s="477">
        <v>0.93400000000000005</v>
      </c>
      <c r="L28" s="477">
        <v>0.96699999999999997</v>
      </c>
      <c r="M28" s="477">
        <v>0.94</v>
      </c>
    </row>
    <row r="29" spans="1:13" x14ac:dyDescent="0.25">
      <c r="A29" s="474" t="s">
        <v>542</v>
      </c>
      <c r="B29" s="496" t="s">
        <v>526</v>
      </c>
      <c r="C29" s="496" t="s">
        <v>526</v>
      </c>
      <c r="D29" s="496">
        <v>0.85099999999999998</v>
      </c>
      <c r="E29" s="496">
        <v>0.85599999999999998</v>
      </c>
      <c r="F29" s="496">
        <v>0.93600000000000005</v>
      </c>
      <c r="G29" s="496">
        <v>0.96899999999999997</v>
      </c>
      <c r="H29" s="496">
        <v>0.97</v>
      </c>
      <c r="I29" s="496">
        <v>0.97</v>
      </c>
      <c r="J29" s="477">
        <v>0.996</v>
      </c>
      <c r="K29" s="477">
        <v>0.99399999999999999</v>
      </c>
      <c r="L29" s="477">
        <v>0.99299999999999999</v>
      </c>
      <c r="M29" s="477">
        <v>0.998</v>
      </c>
    </row>
    <row r="30" spans="1:13" x14ac:dyDescent="0.25">
      <c r="A30" s="52"/>
      <c r="B30" s="52"/>
      <c r="C30" s="52"/>
      <c r="D30" s="52"/>
      <c r="E30" s="52"/>
      <c r="F30" s="52"/>
      <c r="G30" s="52"/>
      <c r="H30" s="52"/>
      <c r="I30" s="52"/>
      <c r="J30" s="465"/>
      <c r="K30" s="52"/>
      <c r="L30" s="52"/>
      <c r="M30" s="52"/>
    </row>
  </sheetData>
  <hyperlinks>
    <hyperlink ref="N1" location="MENU!A1" display="MENU"/>
  </hyperlinks>
  <pageMargins left="0.25" right="0.25" top="0.75" bottom="0.75" header="0.3" footer="0.3"/>
  <pageSetup paperSize="9" scale="8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66"/>
  <sheetViews>
    <sheetView showGridLines="0" view="pageBreakPreview" topLeftCell="A46" zoomScale="115" zoomScaleNormal="100" zoomScaleSheetLayoutView="115" workbookViewId="0">
      <selection activeCell="A68" sqref="A68"/>
    </sheetView>
  </sheetViews>
  <sheetFormatPr defaultColWidth="8.85546875" defaultRowHeight="12.75" x14ac:dyDescent="0.2"/>
  <cols>
    <col min="1" max="1" width="47.7109375" style="622" customWidth="1"/>
    <col min="2" max="2" width="11.7109375" style="622" bestFit="1" customWidth="1"/>
    <col min="3" max="10" width="8.5703125" style="622" customWidth="1"/>
    <col min="11" max="11" width="9.140625" style="622" bestFit="1" customWidth="1"/>
    <col min="12" max="13" width="8.5703125" style="622" customWidth="1"/>
    <col min="14" max="14" width="9.140625" style="622" bestFit="1" customWidth="1"/>
    <col min="15" max="16384" width="8.85546875" style="22"/>
  </cols>
  <sheetData>
    <row r="1" spans="1:14" ht="14.25" customHeight="1" x14ac:dyDescent="0.2">
      <c r="A1" s="632" t="s">
        <v>646</v>
      </c>
      <c r="B1" s="634" t="s">
        <v>543</v>
      </c>
      <c r="C1" s="642" t="s">
        <v>544</v>
      </c>
      <c r="D1" s="642"/>
      <c r="E1" s="642"/>
      <c r="F1" s="642"/>
      <c r="G1" s="642"/>
      <c r="H1" s="643"/>
      <c r="I1" s="642" t="s">
        <v>545</v>
      </c>
      <c r="J1" s="642"/>
      <c r="K1" s="642"/>
      <c r="L1" s="642"/>
      <c r="M1" s="642"/>
      <c r="N1" s="644"/>
    </row>
    <row r="2" spans="1:14" ht="25.5" x14ac:dyDescent="0.2">
      <c r="A2" s="633"/>
      <c r="B2" s="641"/>
      <c r="C2" s="567" t="s">
        <v>546</v>
      </c>
      <c r="D2" s="568" t="s">
        <v>547</v>
      </c>
      <c r="E2" s="568" t="s">
        <v>548</v>
      </c>
      <c r="F2" s="568" t="s">
        <v>549</v>
      </c>
      <c r="G2" s="568" t="s">
        <v>550</v>
      </c>
      <c r="H2" s="569" t="s">
        <v>551</v>
      </c>
      <c r="I2" s="568" t="s">
        <v>552</v>
      </c>
      <c r="J2" s="568" t="s">
        <v>553</v>
      </c>
      <c r="K2" s="568" t="s">
        <v>554</v>
      </c>
      <c r="L2" s="568" t="s">
        <v>555</v>
      </c>
      <c r="M2" s="568" t="s">
        <v>556</v>
      </c>
      <c r="N2" s="570" t="s">
        <v>557</v>
      </c>
    </row>
    <row r="3" spans="1:14" ht="13.5" thickBot="1" x14ac:dyDescent="0.25">
      <c r="A3" s="630" t="s">
        <v>558</v>
      </c>
      <c r="B3" s="631"/>
      <c r="C3" s="631"/>
      <c r="D3" s="631"/>
      <c r="E3" s="631"/>
      <c r="F3" s="631"/>
      <c r="G3" s="631"/>
      <c r="H3" s="631"/>
      <c r="I3" s="631"/>
      <c r="J3" s="631"/>
      <c r="K3" s="631"/>
      <c r="L3" s="631"/>
      <c r="M3" s="631"/>
      <c r="N3" s="645"/>
    </row>
    <row r="4" spans="1:14" ht="13.5" thickTop="1" x14ac:dyDescent="0.2">
      <c r="A4" s="571" t="s">
        <v>559</v>
      </c>
      <c r="B4" s="572">
        <f>B6+B10+B12+B16</f>
        <v>683625</v>
      </c>
      <c r="C4" s="573">
        <v>0.92</v>
      </c>
      <c r="D4" s="573">
        <v>1.73</v>
      </c>
      <c r="E4" s="573">
        <v>4.2300000000000004</v>
      </c>
      <c r="F4" s="573">
        <v>1.1200000000000001</v>
      </c>
      <c r="G4" s="573">
        <v>0.24</v>
      </c>
      <c r="H4" s="574">
        <v>5.6</v>
      </c>
      <c r="I4" s="572">
        <f t="shared" ref="I4:N4" si="0">I6+I10+I12+I16</f>
        <v>6286</v>
      </c>
      <c r="J4" s="572">
        <f t="shared" si="0"/>
        <v>11858</v>
      </c>
      <c r="K4" s="572">
        <f t="shared" si="0"/>
        <v>92864</v>
      </c>
      <c r="L4" s="572">
        <f t="shared" si="0"/>
        <v>24600</v>
      </c>
      <c r="M4" s="572">
        <f t="shared" si="0"/>
        <v>5331</v>
      </c>
      <c r="N4" s="572">
        <f t="shared" si="0"/>
        <v>122982</v>
      </c>
    </row>
    <row r="5" spans="1:14" x14ac:dyDescent="0.2">
      <c r="A5" s="505" t="s">
        <v>560</v>
      </c>
      <c r="B5" s="575"/>
      <c r="C5" s="515"/>
      <c r="D5" s="515"/>
      <c r="E5" s="515"/>
      <c r="F5" s="515"/>
      <c r="G5" s="515"/>
      <c r="H5" s="576"/>
      <c r="I5" s="575"/>
      <c r="J5" s="575"/>
      <c r="K5" s="575"/>
      <c r="L5" s="575"/>
      <c r="M5" s="575"/>
      <c r="N5" s="575"/>
    </row>
    <row r="6" spans="1:14" s="514" customFormat="1" x14ac:dyDescent="0.2">
      <c r="A6" s="507" t="s">
        <v>561</v>
      </c>
      <c r="B6" s="511">
        <f>B7+B8+B9</f>
        <v>328571</v>
      </c>
      <c r="C6" s="577">
        <v>0.79</v>
      </c>
      <c r="D6" s="577">
        <v>1.55</v>
      </c>
      <c r="E6" s="577">
        <v>3.84</v>
      </c>
      <c r="F6" s="577">
        <v>1.04</v>
      </c>
      <c r="G6" s="577">
        <v>0.23</v>
      </c>
      <c r="H6" s="578">
        <v>5.08</v>
      </c>
      <c r="I6" s="511">
        <f t="shared" ref="I6:N6" si="1">I7+I8+I9</f>
        <v>2600</v>
      </c>
      <c r="J6" s="511">
        <f t="shared" si="1"/>
        <v>5080</v>
      </c>
      <c r="K6" s="511">
        <f t="shared" si="1"/>
        <v>40582</v>
      </c>
      <c r="L6" s="511">
        <f t="shared" si="1"/>
        <v>10938</v>
      </c>
      <c r="M6" s="511">
        <f t="shared" si="1"/>
        <v>2398</v>
      </c>
      <c r="N6" s="511">
        <f t="shared" si="1"/>
        <v>53664</v>
      </c>
    </row>
    <row r="7" spans="1:14" s="514" customFormat="1" x14ac:dyDescent="0.2">
      <c r="A7" s="512" t="s">
        <v>647</v>
      </c>
      <c r="B7" s="513">
        <v>51627</v>
      </c>
      <c r="C7" s="579">
        <v>2.52</v>
      </c>
      <c r="D7" s="579">
        <v>3.1</v>
      </c>
      <c r="E7" s="579">
        <v>6.25</v>
      </c>
      <c r="F7" s="579">
        <v>1.3</v>
      </c>
      <c r="G7" s="579">
        <v>0.23</v>
      </c>
      <c r="H7" s="580">
        <v>7.89</v>
      </c>
      <c r="I7" s="513">
        <v>1299</v>
      </c>
      <c r="J7" s="513">
        <v>1603</v>
      </c>
      <c r="K7" s="513">
        <v>10380</v>
      </c>
      <c r="L7" s="513">
        <v>2156</v>
      </c>
      <c r="M7" s="513">
        <v>385</v>
      </c>
      <c r="N7" s="513">
        <v>13100</v>
      </c>
    </row>
    <row r="8" spans="1:14" s="514" customFormat="1" x14ac:dyDescent="0.2">
      <c r="A8" s="512" t="s">
        <v>648</v>
      </c>
      <c r="B8" s="513">
        <v>19770</v>
      </c>
      <c r="C8" s="579">
        <v>0.97</v>
      </c>
      <c r="D8" s="579">
        <v>3.93</v>
      </c>
      <c r="E8" s="579">
        <v>9.56</v>
      </c>
      <c r="F8" s="579">
        <v>2.3199999999999998</v>
      </c>
      <c r="G8" s="579">
        <v>0.64</v>
      </c>
      <c r="H8" s="580">
        <v>12.01</v>
      </c>
      <c r="I8" s="513">
        <v>192</v>
      </c>
      <c r="J8" s="513">
        <v>776</v>
      </c>
      <c r="K8" s="513">
        <v>6073</v>
      </c>
      <c r="L8" s="513">
        <v>1472</v>
      </c>
      <c r="M8" s="513">
        <v>405</v>
      </c>
      <c r="N8" s="513">
        <v>7633</v>
      </c>
    </row>
    <row r="9" spans="1:14" x14ac:dyDescent="0.2">
      <c r="A9" s="512" t="s">
        <v>649</v>
      </c>
      <c r="B9" s="513">
        <v>257174</v>
      </c>
      <c r="C9" s="579">
        <v>0.43</v>
      </c>
      <c r="D9" s="579">
        <v>1.05</v>
      </c>
      <c r="E9" s="579">
        <v>2.92</v>
      </c>
      <c r="F9" s="579">
        <v>0.88</v>
      </c>
      <c r="G9" s="579">
        <v>0.19</v>
      </c>
      <c r="H9" s="580">
        <v>3.98</v>
      </c>
      <c r="I9" s="513">
        <v>1109</v>
      </c>
      <c r="J9" s="513">
        <v>2701</v>
      </c>
      <c r="K9" s="513">
        <v>24129</v>
      </c>
      <c r="L9" s="513">
        <v>7310</v>
      </c>
      <c r="M9" s="513">
        <v>1608</v>
      </c>
      <c r="N9" s="513">
        <v>32931</v>
      </c>
    </row>
    <row r="10" spans="1:14" x14ac:dyDescent="0.2">
      <c r="A10" s="507" t="s">
        <v>562</v>
      </c>
      <c r="B10" s="511">
        <v>21628</v>
      </c>
      <c r="C10" s="577">
        <v>0.35</v>
      </c>
      <c r="D10" s="577">
        <v>0.51</v>
      </c>
      <c r="E10" s="577">
        <v>3.95</v>
      </c>
      <c r="F10" s="577">
        <v>1.58</v>
      </c>
      <c r="G10" s="577">
        <v>0.18</v>
      </c>
      <c r="H10" s="578">
        <v>5.82</v>
      </c>
      <c r="I10" s="511">
        <v>76</v>
      </c>
      <c r="J10" s="511">
        <v>110</v>
      </c>
      <c r="K10" s="511">
        <v>2744</v>
      </c>
      <c r="L10" s="511">
        <v>1101</v>
      </c>
      <c r="M10" s="511">
        <v>122</v>
      </c>
      <c r="N10" s="511">
        <v>4045</v>
      </c>
    </row>
    <row r="11" spans="1:14" x14ac:dyDescent="0.2">
      <c r="A11" s="505" t="s">
        <v>563</v>
      </c>
      <c r="B11" s="511"/>
      <c r="C11" s="581"/>
      <c r="D11" s="577"/>
      <c r="E11" s="577"/>
      <c r="F11" s="577"/>
      <c r="G11" s="577"/>
      <c r="H11" s="582"/>
      <c r="I11" s="511"/>
      <c r="J11" s="511"/>
      <c r="K11" s="511"/>
      <c r="L11" s="511"/>
      <c r="M11" s="511"/>
      <c r="N11" s="511"/>
    </row>
    <row r="12" spans="1:14" s="514" customFormat="1" x14ac:dyDescent="0.2">
      <c r="A12" s="507" t="s">
        <v>561</v>
      </c>
      <c r="B12" s="511">
        <f>B13+B14+B15</f>
        <v>311622</v>
      </c>
      <c r="C12" s="577">
        <v>1.1399999999999999</v>
      </c>
      <c r="D12" s="577">
        <v>2.11</v>
      </c>
      <c r="E12" s="577">
        <v>4.6399999999999997</v>
      </c>
      <c r="F12" s="577">
        <v>1.1299999999999999</v>
      </c>
      <c r="G12" s="577">
        <v>0.27</v>
      </c>
      <c r="H12" s="578">
        <v>6.07</v>
      </c>
      <c r="I12" s="511">
        <f t="shared" ref="I12:N12" si="2">I13+I14+I15</f>
        <v>3549</v>
      </c>
      <c r="J12" s="511">
        <f t="shared" si="2"/>
        <v>6588</v>
      </c>
      <c r="K12" s="511">
        <f t="shared" si="2"/>
        <v>46529</v>
      </c>
      <c r="L12" s="511">
        <f t="shared" si="2"/>
        <v>11347</v>
      </c>
      <c r="M12" s="511">
        <f t="shared" si="2"/>
        <v>2676</v>
      </c>
      <c r="N12" s="511">
        <f t="shared" si="2"/>
        <v>60828</v>
      </c>
    </row>
    <row r="13" spans="1:14" s="514" customFormat="1" x14ac:dyDescent="0.2">
      <c r="A13" s="512" t="s">
        <v>647</v>
      </c>
      <c r="B13" s="513">
        <v>79629</v>
      </c>
      <c r="C13" s="579">
        <v>2.9</v>
      </c>
      <c r="D13" s="579">
        <v>3.95</v>
      </c>
      <c r="E13" s="579">
        <v>7.11</v>
      </c>
      <c r="F13" s="579">
        <v>1.4</v>
      </c>
      <c r="G13" s="579">
        <v>0.26</v>
      </c>
      <c r="H13" s="580">
        <v>9.0500000000000007</v>
      </c>
      <c r="I13" s="513">
        <v>2308</v>
      </c>
      <c r="J13" s="513">
        <v>3145</v>
      </c>
      <c r="K13" s="513">
        <v>18199</v>
      </c>
      <c r="L13" s="513">
        <v>3581</v>
      </c>
      <c r="M13" s="513">
        <v>664</v>
      </c>
      <c r="N13" s="513">
        <v>23160</v>
      </c>
    </row>
    <row r="14" spans="1:14" s="514" customFormat="1" x14ac:dyDescent="0.2">
      <c r="A14" s="512" t="s">
        <v>648</v>
      </c>
      <c r="B14" s="513">
        <v>61380</v>
      </c>
      <c r="C14" s="579">
        <v>0.75</v>
      </c>
      <c r="D14" s="579">
        <v>3.17</v>
      </c>
      <c r="E14" s="579">
        <v>7.12</v>
      </c>
      <c r="F14" s="579">
        <v>1.86</v>
      </c>
      <c r="G14" s="579">
        <v>0.52</v>
      </c>
      <c r="H14" s="580">
        <v>9.1999999999999993</v>
      </c>
      <c r="I14" s="513">
        <v>461</v>
      </c>
      <c r="J14" s="513">
        <v>1944</v>
      </c>
      <c r="K14" s="513">
        <v>14057</v>
      </c>
      <c r="L14" s="513">
        <v>3666</v>
      </c>
      <c r="M14" s="513">
        <v>1017</v>
      </c>
      <c r="N14" s="513">
        <v>18153</v>
      </c>
    </row>
    <row r="15" spans="1:14" x14ac:dyDescent="0.2">
      <c r="A15" s="512" t="s">
        <v>649</v>
      </c>
      <c r="B15" s="513">
        <v>170613</v>
      </c>
      <c r="C15" s="579">
        <v>0.46</v>
      </c>
      <c r="D15" s="579">
        <v>0.88</v>
      </c>
      <c r="E15" s="579">
        <v>2.6</v>
      </c>
      <c r="F15" s="579">
        <v>0.75</v>
      </c>
      <c r="G15" s="579">
        <v>0.18</v>
      </c>
      <c r="H15" s="580">
        <v>3.56</v>
      </c>
      <c r="I15" s="513">
        <v>780</v>
      </c>
      <c r="J15" s="513">
        <v>1499</v>
      </c>
      <c r="K15" s="513">
        <v>14273</v>
      </c>
      <c r="L15" s="513">
        <v>4100</v>
      </c>
      <c r="M15" s="513">
        <v>995</v>
      </c>
      <c r="N15" s="513">
        <v>19515</v>
      </c>
    </row>
    <row r="16" spans="1:14" x14ac:dyDescent="0.2">
      <c r="A16" s="507" t="s">
        <v>562</v>
      </c>
      <c r="B16" s="511">
        <v>21804</v>
      </c>
      <c r="C16" s="577">
        <v>0.28000000000000003</v>
      </c>
      <c r="D16" s="577">
        <v>0.37</v>
      </c>
      <c r="E16" s="577">
        <v>4.29</v>
      </c>
      <c r="F16" s="577">
        <v>1.73</v>
      </c>
      <c r="G16" s="577">
        <v>0.19</v>
      </c>
      <c r="H16" s="578">
        <v>6.34</v>
      </c>
      <c r="I16" s="511">
        <v>61</v>
      </c>
      <c r="J16" s="511">
        <v>80</v>
      </c>
      <c r="K16" s="511">
        <v>3009</v>
      </c>
      <c r="L16" s="511">
        <v>1214</v>
      </c>
      <c r="M16" s="511">
        <v>135</v>
      </c>
      <c r="N16" s="511">
        <v>4445</v>
      </c>
    </row>
    <row r="17" spans="1:14" x14ac:dyDescent="0.2">
      <c r="A17" s="502" t="s">
        <v>564</v>
      </c>
      <c r="B17" s="583">
        <f>B18+B22</f>
        <v>1708565</v>
      </c>
      <c r="C17" s="584">
        <v>0.7</v>
      </c>
      <c r="D17" s="584">
        <v>1.31</v>
      </c>
      <c r="E17" s="584">
        <v>3.56</v>
      </c>
      <c r="F17" s="584">
        <v>1</v>
      </c>
      <c r="G17" s="584">
        <v>0.21</v>
      </c>
      <c r="H17" s="585">
        <v>4.78</v>
      </c>
      <c r="I17" s="583">
        <f t="shared" ref="I17:N17" si="3">I18+I22</f>
        <v>11892</v>
      </c>
      <c r="J17" s="583">
        <f t="shared" si="3"/>
        <v>22437</v>
      </c>
      <c r="K17" s="583">
        <f t="shared" si="3"/>
        <v>195441</v>
      </c>
      <c r="L17" s="583">
        <f t="shared" si="3"/>
        <v>55122</v>
      </c>
      <c r="M17" s="583">
        <f t="shared" si="3"/>
        <v>11565</v>
      </c>
      <c r="N17" s="583">
        <f t="shared" si="3"/>
        <v>262296</v>
      </c>
    </row>
    <row r="18" spans="1:14" s="514" customFormat="1" x14ac:dyDescent="0.2">
      <c r="A18" s="507" t="s">
        <v>561</v>
      </c>
      <c r="B18" s="511">
        <f>B19+B20+B21</f>
        <v>1561555</v>
      </c>
      <c r="C18" s="577">
        <v>0.73</v>
      </c>
      <c r="D18" s="577">
        <v>1.4</v>
      </c>
      <c r="E18" s="577">
        <v>3.55</v>
      </c>
      <c r="F18" s="577">
        <v>0.96</v>
      </c>
      <c r="G18" s="577">
        <v>0.22</v>
      </c>
      <c r="H18" s="578">
        <v>4.71</v>
      </c>
      <c r="I18" s="511">
        <f t="shared" ref="I18:N18" si="4">I19+I20+I21</f>
        <v>11456</v>
      </c>
      <c r="J18" s="511">
        <f t="shared" si="4"/>
        <v>21877</v>
      </c>
      <c r="K18" s="511">
        <f t="shared" si="4"/>
        <v>178029</v>
      </c>
      <c r="L18" s="511">
        <f t="shared" si="4"/>
        <v>48335</v>
      </c>
      <c r="M18" s="511">
        <f t="shared" si="4"/>
        <v>10840</v>
      </c>
      <c r="N18" s="511">
        <f t="shared" si="4"/>
        <v>236698</v>
      </c>
    </row>
    <row r="19" spans="1:14" s="514" customFormat="1" x14ac:dyDescent="0.2">
      <c r="A19" s="512" t="s">
        <v>647</v>
      </c>
      <c r="B19" s="513">
        <v>113786</v>
      </c>
      <c r="C19" s="579">
        <v>3.23</v>
      </c>
      <c r="D19" s="579">
        <v>4.25</v>
      </c>
      <c r="E19" s="579">
        <v>7.96</v>
      </c>
      <c r="F19" s="579">
        <v>1.6</v>
      </c>
      <c r="G19" s="579">
        <v>0.28999999999999998</v>
      </c>
      <c r="H19" s="580">
        <v>10.1</v>
      </c>
      <c r="I19" s="513">
        <v>3675</v>
      </c>
      <c r="J19" s="513">
        <v>4840</v>
      </c>
      <c r="K19" s="513">
        <v>29123</v>
      </c>
      <c r="L19" s="513">
        <v>5845</v>
      </c>
      <c r="M19" s="513">
        <v>1069</v>
      </c>
      <c r="N19" s="513">
        <v>36950</v>
      </c>
    </row>
    <row r="20" spans="1:14" s="514" customFormat="1" x14ac:dyDescent="0.2">
      <c r="A20" s="512" t="s">
        <v>648</v>
      </c>
      <c r="B20" s="513">
        <v>68710</v>
      </c>
      <c r="C20" s="579">
        <v>0.98</v>
      </c>
      <c r="D20" s="579">
        <v>4.08</v>
      </c>
      <c r="E20" s="579">
        <v>9.4</v>
      </c>
      <c r="F20" s="579">
        <v>2.4</v>
      </c>
      <c r="G20" s="579">
        <v>0.66</v>
      </c>
      <c r="H20" s="580">
        <v>12.04</v>
      </c>
      <c r="I20" s="513">
        <v>674</v>
      </c>
      <c r="J20" s="513">
        <v>2806</v>
      </c>
      <c r="K20" s="513">
        <v>20755</v>
      </c>
      <c r="L20" s="513">
        <v>5297</v>
      </c>
      <c r="M20" s="513">
        <v>1467</v>
      </c>
      <c r="N20" s="513">
        <v>26588</v>
      </c>
    </row>
    <row r="21" spans="1:14" x14ac:dyDescent="0.2">
      <c r="A21" s="512" t="s">
        <v>649</v>
      </c>
      <c r="B21" s="513">
        <v>1379059</v>
      </c>
      <c r="C21" s="579">
        <v>0.52</v>
      </c>
      <c r="D21" s="579">
        <v>1.03</v>
      </c>
      <c r="E21" s="579">
        <v>2.89</v>
      </c>
      <c r="F21" s="579">
        <v>0.84</v>
      </c>
      <c r="G21" s="579">
        <v>0.19</v>
      </c>
      <c r="H21" s="580">
        <v>3.91</v>
      </c>
      <c r="I21" s="513">
        <v>7107</v>
      </c>
      <c r="J21" s="513">
        <v>14231</v>
      </c>
      <c r="K21" s="513">
        <v>128151</v>
      </c>
      <c r="L21" s="513">
        <v>37193</v>
      </c>
      <c r="M21" s="513">
        <v>8304</v>
      </c>
      <c r="N21" s="513">
        <v>173160</v>
      </c>
    </row>
    <row r="22" spans="1:14" x14ac:dyDescent="0.2">
      <c r="A22" s="507" t="s">
        <v>562</v>
      </c>
      <c r="B22" s="511">
        <v>147010</v>
      </c>
      <c r="C22" s="577">
        <v>0.3</v>
      </c>
      <c r="D22" s="577">
        <v>0.38</v>
      </c>
      <c r="E22" s="577">
        <v>3.68</v>
      </c>
      <c r="F22" s="577">
        <v>1.44</v>
      </c>
      <c r="G22" s="577">
        <v>0.15</v>
      </c>
      <c r="H22" s="578">
        <v>5.42</v>
      </c>
      <c r="I22" s="511">
        <v>436</v>
      </c>
      <c r="J22" s="511">
        <v>560</v>
      </c>
      <c r="K22" s="511">
        <v>17412</v>
      </c>
      <c r="L22" s="511">
        <v>6787</v>
      </c>
      <c r="M22" s="511">
        <v>725</v>
      </c>
      <c r="N22" s="511">
        <v>25598</v>
      </c>
    </row>
    <row r="23" spans="1:14" x14ac:dyDescent="0.2">
      <c r="A23" s="586" t="s">
        <v>565</v>
      </c>
      <c r="B23" s="583">
        <f>B24+B25</f>
        <v>440898</v>
      </c>
      <c r="C23" s="584">
        <v>0.85</v>
      </c>
      <c r="D23" s="584">
        <v>1.74</v>
      </c>
      <c r="E23" s="584">
        <v>4.22</v>
      </c>
      <c r="F23" s="584">
        <v>1.0900000000000001</v>
      </c>
      <c r="G23" s="584">
        <v>0.25</v>
      </c>
      <c r="H23" s="585">
        <v>5.54</v>
      </c>
      <c r="I23" s="583">
        <f t="shared" ref="I23:N23" si="5">I24+I25</f>
        <v>3750</v>
      </c>
      <c r="J23" s="583">
        <f t="shared" si="5"/>
        <v>7653</v>
      </c>
      <c r="K23" s="583">
        <f t="shared" si="5"/>
        <v>59754</v>
      </c>
      <c r="L23" s="583">
        <f t="shared" si="5"/>
        <v>15435</v>
      </c>
      <c r="M23" s="583">
        <f t="shared" si="5"/>
        <v>3545</v>
      </c>
      <c r="N23" s="583">
        <f t="shared" si="5"/>
        <v>78321</v>
      </c>
    </row>
    <row r="24" spans="1:14" x14ac:dyDescent="0.2">
      <c r="A24" s="507" t="s">
        <v>566</v>
      </c>
      <c r="B24" s="511">
        <v>439830</v>
      </c>
      <c r="C24" s="577">
        <v>0.85</v>
      </c>
      <c r="D24" s="577">
        <v>1.74</v>
      </c>
      <c r="E24" s="577">
        <v>4.22</v>
      </c>
      <c r="F24" s="577">
        <v>1.0900000000000001</v>
      </c>
      <c r="G24" s="577">
        <v>0.25</v>
      </c>
      <c r="H24" s="578">
        <v>5.54</v>
      </c>
      <c r="I24" s="511">
        <v>3747</v>
      </c>
      <c r="J24" s="511">
        <v>7650</v>
      </c>
      <c r="K24" s="511">
        <v>59627</v>
      </c>
      <c r="L24" s="511">
        <v>15385</v>
      </c>
      <c r="M24" s="511">
        <v>3541</v>
      </c>
      <c r="N24" s="511">
        <v>78054</v>
      </c>
    </row>
    <row r="25" spans="1:14" x14ac:dyDescent="0.2">
      <c r="A25" s="587" t="s">
        <v>562</v>
      </c>
      <c r="B25" s="518">
        <v>1068</v>
      </c>
      <c r="C25" s="588">
        <v>0.28000000000000003</v>
      </c>
      <c r="D25" s="588">
        <v>0.28000000000000003</v>
      </c>
      <c r="E25" s="588">
        <v>3.69</v>
      </c>
      <c r="F25" s="588">
        <v>1.46</v>
      </c>
      <c r="G25" s="588">
        <v>0.13</v>
      </c>
      <c r="H25" s="589">
        <v>7.78</v>
      </c>
      <c r="I25" s="521">
        <v>3</v>
      </c>
      <c r="J25" s="518">
        <v>3</v>
      </c>
      <c r="K25" s="518">
        <v>127</v>
      </c>
      <c r="L25" s="518">
        <v>50</v>
      </c>
      <c r="M25" s="518">
        <v>4</v>
      </c>
      <c r="N25" s="518">
        <v>267</v>
      </c>
    </row>
    <row r="26" spans="1:14" x14ac:dyDescent="0.2">
      <c r="A26" s="516"/>
      <c r="B26" s="263"/>
      <c r="C26" s="509"/>
      <c r="D26" s="509"/>
      <c r="E26" s="509"/>
      <c r="F26" s="509"/>
      <c r="G26" s="509"/>
      <c r="H26" s="509"/>
      <c r="I26" s="263"/>
      <c r="J26" s="263"/>
      <c r="K26" s="263"/>
      <c r="L26" s="263"/>
      <c r="M26" s="263"/>
      <c r="N26" s="511"/>
    </row>
    <row r="27" spans="1:14" ht="13.5" thickBot="1" x14ac:dyDescent="0.25">
      <c r="A27" s="631" t="s">
        <v>567</v>
      </c>
      <c r="B27" s="631"/>
      <c r="C27" s="631"/>
      <c r="D27" s="631"/>
      <c r="E27" s="631"/>
      <c r="F27" s="631"/>
      <c r="G27" s="631"/>
      <c r="H27" s="631"/>
      <c r="I27" s="631"/>
      <c r="J27" s="631"/>
      <c r="K27" s="631"/>
      <c r="L27" s="631"/>
      <c r="M27" s="631"/>
      <c r="N27" s="631"/>
    </row>
    <row r="28" spans="1:14" ht="13.5" thickTop="1" x14ac:dyDescent="0.2">
      <c r="A28" s="571" t="s">
        <v>559</v>
      </c>
      <c r="B28" s="590">
        <f>B29+B30</f>
        <v>100918</v>
      </c>
      <c r="C28" s="573">
        <v>0.57999999999999996</v>
      </c>
      <c r="D28" s="573">
        <v>0.27</v>
      </c>
      <c r="E28" s="573">
        <v>0.03</v>
      </c>
      <c r="F28" s="573">
        <v>0.02</v>
      </c>
      <c r="G28" s="573">
        <v>0.01</v>
      </c>
      <c r="H28" s="574">
        <v>0.05</v>
      </c>
      <c r="I28" s="591">
        <f t="shared" ref="I28:N28" si="6">I29+I30</f>
        <v>581</v>
      </c>
      <c r="J28" s="572">
        <f t="shared" si="6"/>
        <v>271</v>
      </c>
      <c r="K28" s="592">
        <f t="shared" si="6"/>
        <v>93</v>
      </c>
      <c r="L28" s="591">
        <f t="shared" si="6"/>
        <v>60</v>
      </c>
      <c r="M28" s="572">
        <f t="shared" si="6"/>
        <v>29</v>
      </c>
      <c r="N28" s="590">
        <f t="shared" si="6"/>
        <v>155</v>
      </c>
    </row>
    <row r="29" spans="1:14" x14ac:dyDescent="0.2">
      <c r="A29" s="507" t="s">
        <v>568</v>
      </c>
      <c r="B29" s="508">
        <v>45074</v>
      </c>
      <c r="C29" s="577">
        <v>0.57999999999999996</v>
      </c>
      <c r="D29" s="577">
        <v>0.25</v>
      </c>
      <c r="E29" s="577">
        <v>0.03</v>
      </c>
      <c r="F29" s="577">
        <v>0.02</v>
      </c>
      <c r="G29" s="577">
        <v>0.01</v>
      </c>
      <c r="H29" s="578">
        <v>0.05</v>
      </c>
      <c r="I29" s="511">
        <v>261</v>
      </c>
      <c r="J29" s="508">
        <v>112</v>
      </c>
      <c r="K29" s="508">
        <v>42</v>
      </c>
      <c r="L29" s="511">
        <v>30</v>
      </c>
      <c r="M29" s="508">
        <v>13</v>
      </c>
      <c r="N29" s="511">
        <v>73</v>
      </c>
    </row>
    <row r="30" spans="1:14" x14ac:dyDescent="0.2">
      <c r="A30" s="507" t="s">
        <v>563</v>
      </c>
      <c r="B30" s="508">
        <v>55844</v>
      </c>
      <c r="C30" s="577">
        <v>0.56999999999999995</v>
      </c>
      <c r="D30" s="577">
        <v>0.28000000000000003</v>
      </c>
      <c r="E30" s="577">
        <v>0.03</v>
      </c>
      <c r="F30" s="577">
        <v>0.02</v>
      </c>
      <c r="G30" s="577">
        <v>0.01</v>
      </c>
      <c r="H30" s="578">
        <v>0.05</v>
      </c>
      <c r="I30" s="511">
        <v>320</v>
      </c>
      <c r="J30" s="508">
        <v>159</v>
      </c>
      <c r="K30" s="508">
        <v>51</v>
      </c>
      <c r="L30" s="511">
        <v>30</v>
      </c>
      <c r="M30" s="508">
        <v>16</v>
      </c>
      <c r="N30" s="511">
        <v>82</v>
      </c>
    </row>
    <row r="31" spans="1:14" x14ac:dyDescent="0.2">
      <c r="A31" s="502" t="s">
        <v>564</v>
      </c>
      <c r="B31" s="593">
        <v>327277</v>
      </c>
      <c r="C31" s="584">
        <v>0.69</v>
      </c>
      <c r="D31" s="584">
        <v>0.33</v>
      </c>
      <c r="E31" s="584">
        <v>0.05</v>
      </c>
      <c r="F31" s="584">
        <v>0.03</v>
      </c>
      <c r="G31" s="584">
        <v>0.02</v>
      </c>
      <c r="H31" s="585">
        <v>0.08</v>
      </c>
      <c r="I31" s="583">
        <v>2246.9</v>
      </c>
      <c r="J31" s="593">
        <v>1089</v>
      </c>
      <c r="K31" s="503">
        <v>488</v>
      </c>
      <c r="L31" s="504">
        <v>314</v>
      </c>
      <c r="M31" s="503">
        <v>177</v>
      </c>
      <c r="N31" s="504">
        <v>862</v>
      </c>
    </row>
    <row r="32" spans="1:14" x14ac:dyDescent="0.2">
      <c r="A32" s="594" t="s">
        <v>565</v>
      </c>
      <c r="B32" s="595">
        <v>144211</v>
      </c>
      <c r="C32" s="596">
        <v>0.63</v>
      </c>
      <c r="D32" s="596">
        <v>0.31</v>
      </c>
      <c r="E32" s="596">
        <v>0.04</v>
      </c>
      <c r="F32" s="596">
        <v>0.03</v>
      </c>
      <c r="G32" s="596">
        <v>0.01</v>
      </c>
      <c r="H32" s="597">
        <v>7.0000000000000007E-2</v>
      </c>
      <c r="I32" s="598">
        <v>909</v>
      </c>
      <c r="J32" s="595">
        <v>448.1</v>
      </c>
      <c r="K32" s="599">
        <v>184</v>
      </c>
      <c r="L32" s="600">
        <v>121</v>
      </c>
      <c r="M32" s="599">
        <v>60</v>
      </c>
      <c r="N32" s="600">
        <v>320</v>
      </c>
    </row>
    <row r="33" spans="1:14" x14ac:dyDescent="0.2">
      <c r="A33" s="164"/>
      <c r="B33" s="177"/>
      <c r="C33" s="601"/>
      <c r="D33" s="601"/>
      <c r="E33" s="601"/>
      <c r="F33" s="601"/>
      <c r="G33" s="601"/>
      <c r="H33" s="601"/>
      <c r="I33" s="177"/>
      <c r="J33" s="177"/>
      <c r="K33" s="299"/>
      <c r="L33" s="299"/>
      <c r="M33" s="299"/>
      <c r="N33" s="504"/>
    </row>
    <row r="34" spans="1:14" ht="17.25" customHeight="1" thickBot="1" x14ac:dyDescent="0.25">
      <c r="A34" s="631" t="s">
        <v>650</v>
      </c>
      <c r="B34" s="631"/>
      <c r="C34" s="631"/>
      <c r="D34" s="631"/>
      <c r="E34" s="631"/>
      <c r="F34" s="631"/>
      <c r="G34" s="631"/>
      <c r="H34" s="631"/>
      <c r="I34" s="631"/>
      <c r="J34" s="631"/>
      <c r="K34" s="631"/>
      <c r="L34" s="631"/>
      <c r="M34" s="631"/>
      <c r="N34" s="631"/>
    </row>
    <row r="35" spans="1:14" ht="17.45" customHeight="1" thickTop="1" x14ac:dyDescent="0.2">
      <c r="A35" s="517" t="s">
        <v>651</v>
      </c>
      <c r="B35" s="524">
        <v>173300</v>
      </c>
      <c r="C35" s="602">
        <v>0.68</v>
      </c>
      <c r="D35" s="394">
        <v>0</v>
      </c>
      <c r="E35" s="394">
        <v>0</v>
      </c>
      <c r="F35" s="394">
        <v>0</v>
      </c>
      <c r="G35" s="394">
        <v>0</v>
      </c>
      <c r="H35" s="603">
        <v>0</v>
      </c>
      <c r="I35" s="604">
        <v>1180</v>
      </c>
      <c r="J35" s="605">
        <v>0</v>
      </c>
      <c r="K35" s="605">
        <v>0</v>
      </c>
      <c r="L35" s="605">
        <v>0</v>
      </c>
      <c r="M35" s="605">
        <v>0</v>
      </c>
      <c r="N35" s="525">
        <v>0</v>
      </c>
    </row>
    <row r="36" spans="1:14" ht="14.25" customHeight="1" x14ac:dyDescent="0.2">
      <c r="A36" s="517" t="s">
        <v>652</v>
      </c>
      <c r="B36" s="524">
        <v>11900</v>
      </c>
      <c r="C36" s="602">
        <v>0.68</v>
      </c>
      <c r="D36" s="394">
        <v>0</v>
      </c>
      <c r="E36" s="394">
        <v>0</v>
      </c>
      <c r="F36" s="394">
        <v>0</v>
      </c>
      <c r="G36" s="394">
        <v>0</v>
      </c>
      <c r="H36" s="606">
        <v>0</v>
      </c>
      <c r="I36" s="525">
        <v>81</v>
      </c>
      <c r="J36" s="524">
        <v>0</v>
      </c>
      <c r="K36" s="524">
        <v>0</v>
      </c>
      <c r="L36" s="524">
        <v>0</v>
      </c>
      <c r="M36" s="524">
        <v>0</v>
      </c>
      <c r="N36" s="525">
        <v>0</v>
      </c>
    </row>
    <row r="37" spans="1:14" ht="15" customHeight="1" x14ac:dyDescent="0.2">
      <c r="A37" s="526" t="s">
        <v>653</v>
      </c>
      <c r="B37" s="527">
        <v>339000</v>
      </c>
      <c r="C37" s="607">
        <v>0.81</v>
      </c>
      <c r="D37" s="175">
        <v>0</v>
      </c>
      <c r="E37" s="175">
        <v>0</v>
      </c>
      <c r="F37" s="175">
        <v>0</v>
      </c>
      <c r="G37" s="175">
        <v>0</v>
      </c>
      <c r="H37" s="608">
        <v>0</v>
      </c>
      <c r="I37" s="528">
        <v>2746</v>
      </c>
      <c r="J37" s="527">
        <v>0</v>
      </c>
      <c r="K37" s="527">
        <v>0</v>
      </c>
      <c r="L37" s="527">
        <v>0</v>
      </c>
      <c r="M37" s="527">
        <v>0</v>
      </c>
      <c r="N37" s="528">
        <v>0</v>
      </c>
    </row>
    <row r="38" spans="1:14" x14ac:dyDescent="0.2">
      <c r="A38" s="164"/>
      <c r="B38" s="177"/>
      <c r="C38" s="601"/>
      <c r="D38" s="601"/>
      <c r="E38" s="601"/>
      <c r="F38" s="601"/>
      <c r="G38" s="601"/>
      <c r="H38" s="601"/>
      <c r="I38" s="177"/>
      <c r="J38" s="177"/>
      <c r="K38" s="299"/>
      <c r="L38" s="299"/>
      <c r="M38" s="299"/>
      <c r="N38" s="504"/>
    </row>
    <row r="39" spans="1:14" x14ac:dyDescent="0.2">
      <c r="A39" s="164"/>
      <c r="B39" s="177"/>
      <c r="C39" s="601"/>
      <c r="D39" s="601"/>
      <c r="E39" s="601"/>
      <c r="F39" s="601"/>
      <c r="G39" s="601"/>
      <c r="H39" s="601"/>
      <c r="I39" s="177"/>
      <c r="J39" s="177"/>
      <c r="K39" s="299"/>
      <c r="L39" s="299"/>
      <c r="M39" s="299"/>
      <c r="N39" s="504"/>
    </row>
    <row r="40" spans="1:14" ht="13.5" thickBot="1" x14ac:dyDescent="0.25">
      <c r="A40" s="631" t="s">
        <v>569</v>
      </c>
      <c r="B40" s="631"/>
      <c r="C40" s="631"/>
      <c r="D40" s="631"/>
      <c r="E40" s="631"/>
      <c r="F40" s="631"/>
      <c r="G40" s="631"/>
      <c r="H40" s="631"/>
      <c r="I40" s="631"/>
      <c r="J40" s="631"/>
      <c r="K40" s="631"/>
      <c r="L40" s="631"/>
      <c r="M40" s="631"/>
      <c r="N40" s="631"/>
    </row>
    <row r="41" spans="1:14" ht="13.5" thickTop="1" x14ac:dyDescent="0.2">
      <c r="A41" s="609" t="s">
        <v>654</v>
      </c>
      <c r="B41" s="610">
        <f>B4+B28</f>
        <v>784543</v>
      </c>
      <c r="C41" s="611">
        <f>ROUND((I41*100/B41),2)</f>
        <v>0.88</v>
      </c>
      <c r="D41" s="611">
        <f>ROUND((J41*100/B41),2)</f>
        <v>1.55</v>
      </c>
      <c r="E41" s="611">
        <f>ROUND((K41*1/B41),2)</f>
        <v>0.12</v>
      </c>
      <c r="F41" s="611">
        <f>ROUND((L41*1/B41),2)</f>
        <v>0.03</v>
      </c>
      <c r="G41" s="611">
        <f>ROUND((M41*1/B41),2)</f>
        <v>0.01</v>
      </c>
      <c r="H41" s="612">
        <f>ROUND((N41*1/B41),2)</f>
        <v>0.16</v>
      </c>
      <c r="I41" s="613">
        <f t="shared" ref="I41:N41" si="7">I4+I28</f>
        <v>6867</v>
      </c>
      <c r="J41" s="610">
        <f t="shared" si="7"/>
        <v>12129</v>
      </c>
      <c r="K41" s="610">
        <f t="shared" si="7"/>
        <v>92957</v>
      </c>
      <c r="L41" s="610">
        <f t="shared" si="7"/>
        <v>24660</v>
      </c>
      <c r="M41" s="610">
        <f t="shared" si="7"/>
        <v>5360</v>
      </c>
      <c r="N41" s="610">
        <f t="shared" si="7"/>
        <v>123137</v>
      </c>
    </row>
    <row r="42" spans="1:14" x14ac:dyDescent="0.2">
      <c r="A42" s="517" t="s">
        <v>655</v>
      </c>
      <c r="B42" s="524">
        <f>B17+B31</f>
        <v>2035842</v>
      </c>
      <c r="C42" s="614">
        <f t="shared" ref="C42:C43" si="8">ROUND((I42*100/B42),2)</f>
        <v>0.69</v>
      </c>
      <c r="D42" s="614">
        <f t="shared" ref="D42:D43" si="9">ROUND((J42*100/B42),2)</f>
        <v>1.1599999999999999</v>
      </c>
      <c r="E42" s="614">
        <f t="shared" ref="E42:E43" si="10">ROUND((K42*1/B42),2)</f>
        <v>0.1</v>
      </c>
      <c r="F42" s="614">
        <f t="shared" ref="F42:F43" si="11">ROUND((L42*1/B42),2)</f>
        <v>0.03</v>
      </c>
      <c r="G42" s="614">
        <f t="shared" ref="G42:G43" si="12">ROUND((M42*1/B42),2)</f>
        <v>0.01</v>
      </c>
      <c r="H42" s="615">
        <f t="shared" ref="H42:H43" si="13">ROUND((N42*1/B42),2)</f>
        <v>0.13</v>
      </c>
      <c r="I42" s="525">
        <f t="shared" ref="I42:N42" si="14">I17+I31</f>
        <v>14138.9</v>
      </c>
      <c r="J42" s="524">
        <f t="shared" si="14"/>
        <v>23526</v>
      </c>
      <c r="K42" s="524">
        <f t="shared" si="14"/>
        <v>195929</v>
      </c>
      <c r="L42" s="524">
        <f t="shared" si="14"/>
        <v>55436</v>
      </c>
      <c r="M42" s="524">
        <f t="shared" si="14"/>
        <v>11742</v>
      </c>
      <c r="N42" s="524">
        <f t="shared" si="14"/>
        <v>263158</v>
      </c>
    </row>
    <row r="43" spans="1:14" x14ac:dyDescent="0.2">
      <c r="A43" s="526" t="s">
        <v>656</v>
      </c>
      <c r="B43" s="527">
        <f>B23+B32</f>
        <v>585109</v>
      </c>
      <c r="C43" s="616">
        <f t="shared" si="8"/>
        <v>0.8</v>
      </c>
      <c r="D43" s="616">
        <f t="shared" si="9"/>
        <v>1.38</v>
      </c>
      <c r="E43" s="616">
        <f t="shared" si="10"/>
        <v>0.1</v>
      </c>
      <c r="F43" s="616">
        <f t="shared" si="11"/>
        <v>0.03</v>
      </c>
      <c r="G43" s="616">
        <f t="shared" si="12"/>
        <v>0.01</v>
      </c>
      <c r="H43" s="617">
        <f t="shared" si="13"/>
        <v>0.13</v>
      </c>
      <c r="I43" s="528">
        <f t="shared" ref="I43:N43" si="15">I23+I32</f>
        <v>4659</v>
      </c>
      <c r="J43" s="527">
        <f t="shared" si="15"/>
        <v>8101.1</v>
      </c>
      <c r="K43" s="527">
        <f t="shared" si="15"/>
        <v>59938</v>
      </c>
      <c r="L43" s="527">
        <f t="shared" si="15"/>
        <v>15556</v>
      </c>
      <c r="M43" s="527">
        <f t="shared" si="15"/>
        <v>3605</v>
      </c>
      <c r="N43" s="527">
        <f t="shared" si="15"/>
        <v>78641</v>
      </c>
    </row>
    <row r="45" spans="1:14" ht="19.899999999999999" customHeight="1" thickBot="1" x14ac:dyDescent="0.25">
      <c r="A45" s="631" t="s">
        <v>570</v>
      </c>
      <c r="B45" s="631"/>
      <c r="C45" s="631"/>
      <c r="D45" s="631"/>
      <c r="E45" s="631"/>
      <c r="F45" s="631"/>
      <c r="G45" s="631"/>
      <c r="H45" s="631"/>
      <c r="I45" s="631"/>
      <c r="J45" s="631"/>
      <c r="K45" s="631"/>
      <c r="L45" s="631"/>
      <c r="M45" s="631"/>
      <c r="N45" s="631"/>
    </row>
    <row r="46" spans="1:14" ht="13.5" thickTop="1" x14ac:dyDescent="0.2">
      <c r="A46" s="517" t="s">
        <v>654</v>
      </c>
      <c r="B46" s="524">
        <f>B41</f>
        <v>784543</v>
      </c>
      <c r="C46" s="509" t="s">
        <v>526</v>
      </c>
      <c r="D46" s="509" t="s">
        <v>526</v>
      </c>
      <c r="E46" s="509" t="s">
        <v>526</v>
      </c>
      <c r="F46" s="509" t="s">
        <v>526</v>
      </c>
      <c r="G46" s="509" t="s">
        <v>526</v>
      </c>
      <c r="H46" s="510" t="s">
        <v>526</v>
      </c>
      <c r="I46" s="525">
        <f t="shared" ref="I46:N46" si="16">I41</f>
        <v>6867</v>
      </c>
      <c r="J46" s="524">
        <f t="shared" si="16"/>
        <v>12129</v>
      </c>
      <c r="K46" s="524">
        <f t="shared" si="16"/>
        <v>92957</v>
      </c>
      <c r="L46" s="524">
        <f t="shared" si="16"/>
        <v>24660</v>
      </c>
      <c r="M46" s="524">
        <f t="shared" si="16"/>
        <v>5360</v>
      </c>
      <c r="N46" s="524">
        <f t="shared" si="16"/>
        <v>123137</v>
      </c>
    </row>
    <row r="47" spans="1:14" x14ac:dyDescent="0.2">
      <c r="A47" s="517" t="s">
        <v>655</v>
      </c>
      <c r="B47" s="524">
        <f>B42+B35</f>
        <v>2209142</v>
      </c>
      <c r="C47" s="509" t="s">
        <v>526</v>
      </c>
      <c r="D47" s="509" t="s">
        <v>526</v>
      </c>
      <c r="E47" s="509" t="s">
        <v>526</v>
      </c>
      <c r="F47" s="509" t="s">
        <v>526</v>
      </c>
      <c r="G47" s="509" t="s">
        <v>526</v>
      </c>
      <c r="H47" s="510" t="s">
        <v>526</v>
      </c>
      <c r="I47" s="525">
        <f t="shared" ref="I47:N47" si="17">I42+I35</f>
        <v>15318.9</v>
      </c>
      <c r="J47" s="524">
        <f t="shared" si="17"/>
        <v>23526</v>
      </c>
      <c r="K47" s="524">
        <f t="shared" si="17"/>
        <v>195929</v>
      </c>
      <c r="L47" s="524">
        <f t="shared" si="17"/>
        <v>55436</v>
      </c>
      <c r="M47" s="524">
        <f t="shared" si="17"/>
        <v>11742</v>
      </c>
      <c r="N47" s="524">
        <f t="shared" si="17"/>
        <v>263158</v>
      </c>
    </row>
    <row r="48" spans="1:14" x14ac:dyDescent="0.2">
      <c r="A48" s="526" t="s">
        <v>656</v>
      </c>
      <c r="B48" s="527">
        <f>B43+B36+B37</f>
        <v>936009</v>
      </c>
      <c r="C48" s="519" t="s">
        <v>526</v>
      </c>
      <c r="D48" s="519" t="s">
        <v>526</v>
      </c>
      <c r="E48" s="519" t="s">
        <v>526</v>
      </c>
      <c r="F48" s="519" t="s">
        <v>526</v>
      </c>
      <c r="G48" s="519" t="s">
        <v>526</v>
      </c>
      <c r="H48" s="520" t="s">
        <v>526</v>
      </c>
      <c r="I48" s="528">
        <f t="shared" ref="I48:N48" si="18">I43+I36+I37</f>
        <v>7486</v>
      </c>
      <c r="J48" s="527">
        <f t="shared" si="18"/>
        <v>8101.1</v>
      </c>
      <c r="K48" s="527">
        <f t="shared" si="18"/>
        <v>59938</v>
      </c>
      <c r="L48" s="527">
        <f t="shared" si="18"/>
        <v>15556</v>
      </c>
      <c r="M48" s="527">
        <f t="shared" si="18"/>
        <v>3605</v>
      </c>
      <c r="N48" s="527">
        <f t="shared" si="18"/>
        <v>78641</v>
      </c>
    </row>
    <row r="49" spans="1:14" ht="19.899999999999999" customHeight="1" x14ac:dyDescent="0.2">
      <c r="A49" s="516"/>
      <c r="B49" s="506"/>
      <c r="C49" s="506"/>
      <c r="D49" s="506"/>
      <c r="E49" s="506"/>
      <c r="F49" s="506"/>
      <c r="G49" s="506"/>
      <c r="H49" s="506"/>
      <c r="I49" s="506"/>
      <c r="J49" s="506"/>
      <c r="K49" s="506"/>
      <c r="L49" s="506"/>
      <c r="M49" s="506"/>
      <c r="N49" s="506"/>
    </row>
    <row r="50" spans="1:14" ht="19.899999999999999" customHeight="1" x14ac:dyDescent="0.2">
      <c r="A50" s="516"/>
      <c r="B50" s="506"/>
      <c r="C50" s="506"/>
      <c r="D50" s="506"/>
      <c r="E50" s="506"/>
      <c r="F50" s="506"/>
      <c r="G50" s="506"/>
      <c r="H50" s="506"/>
      <c r="I50" s="506"/>
      <c r="J50" s="506"/>
      <c r="K50" s="506"/>
      <c r="L50" s="506"/>
      <c r="M50" s="506"/>
      <c r="N50" s="506"/>
    </row>
    <row r="51" spans="1:14" ht="19.899999999999999" customHeight="1" x14ac:dyDescent="0.2">
      <c r="A51" s="632" t="s">
        <v>657</v>
      </c>
      <c r="B51" s="634" t="s">
        <v>571</v>
      </c>
      <c r="C51" s="636" t="s">
        <v>544</v>
      </c>
      <c r="D51" s="637"/>
      <c r="E51" s="637"/>
      <c r="F51" s="638"/>
      <c r="G51" s="639" t="s">
        <v>545</v>
      </c>
      <c r="H51" s="639"/>
      <c r="I51" s="639"/>
      <c r="J51" s="640"/>
      <c r="K51" s="618"/>
      <c r="L51" s="618"/>
      <c r="M51" s="618"/>
      <c r="N51" s="618"/>
    </row>
    <row r="52" spans="1:14" ht="25.5" x14ac:dyDescent="0.2">
      <c r="A52" s="633"/>
      <c r="B52" s="635"/>
      <c r="C52" s="522" t="s">
        <v>546</v>
      </c>
      <c r="D52" s="501" t="s">
        <v>547</v>
      </c>
      <c r="E52" s="501" t="s">
        <v>572</v>
      </c>
      <c r="F52" s="619" t="s">
        <v>573</v>
      </c>
      <c r="G52" s="620" t="s">
        <v>552</v>
      </c>
      <c r="H52" s="620" t="s">
        <v>553</v>
      </c>
      <c r="I52" s="620" t="s">
        <v>574</v>
      </c>
      <c r="J52" s="621" t="s">
        <v>575</v>
      </c>
      <c r="K52" s="523"/>
      <c r="L52" s="523"/>
      <c r="M52" s="523"/>
      <c r="N52" s="523"/>
    </row>
    <row r="53" spans="1:14" ht="13.5" thickBot="1" x14ac:dyDescent="0.25">
      <c r="A53" s="630" t="s">
        <v>658</v>
      </c>
      <c r="B53" s="631"/>
      <c r="C53" s="631"/>
      <c r="D53" s="631"/>
      <c r="E53" s="631"/>
      <c r="F53" s="631"/>
      <c r="G53" s="631"/>
      <c r="H53" s="631"/>
      <c r="I53" s="631"/>
      <c r="J53" s="631"/>
      <c r="K53" s="394"/>
      <c r="L53" s="394"/>
      <c r="M53" s="394"/>
      <c r="N53" s="394"/>
    </row>
    <row r="54" spans="1:14" ht="13.5" thickTop="1" x14ac:dyDescent="0.2">
      <c r="A54" s="517" t="s">
        <v>559</v>
      </c>
      <c r="B54" s="524">
        <v>84450</v>
      </c>
      <c r="C54" s="614">
        <v>0.31</v>
      </c>
      <c r="D54" s="614">
        <v>0.12</v>
      </c>
      <c r="E54" s="614">
        <v>0.02</v>
      </c>
      <c r="F54" s="615">
        <v>0.89</v>
      </c>
      <c r="G54" s="525">
        <v>260.95999999999998</v>
      </c>
      <c r="H54" s="524">
        <v>100.9</v>
      </c>
      <c r="I54" s="524">
        <v>16.829999999999998</v>
      </c>
      <c r="J54" s="524">
        <v>2412.2199999999998</v>
      </c>
      <c r="K54" s="394"/>
      <c r="L54" s="394"/>
      <c r="M54" s="394"/>
      <c r="N54" s="394"/>
    </row>
    <row r="55" spans="1:14" x14ac:dyDescent="0.2">
      <c r="A55" s="517" t="s">
        <v>564</v>
      </c>
      <c r="B55" s="524">
        <v>172200</v>
      </c>
      <c r="C55" s="614">
        <v>0.35</v>
      </c>
      <c r="D55" s="614">
        <v>0.14000000000000001</v>
      </c>
      <c r="E55" s="614">
        <v>0.02</v>
      </c>
      <c r="F55" s="615">
        <v>0.96</v>
      </c>
      <c r="G55" s="525">
        <v>602.70000000000005</v>
      </c>
      <c r="H55" s="524">
        <v>241.08</v>
      </c>
      <c r="I55" s="524">
        <v>34.44</v>
      </c>
      <c r="J55" s="524">
        <v>5314.9040000000005</v>
      </c>
      <c r="K55" s="506"/>
      <c r="L55" s="506"/>
      <c r="M55" s="506"/>
      <c r="N55" s="506"/>
    </row>
    <row r="56" spans="1:14" x14ac:dyDescent="0.2">
      <c r="A56" s="526" t="s">
        <v>565</v>
      </c>
      <c r="B56" s="527">
        <v>46350</v>
      </c>
      <c r="C56" s="616">
        <v>0.4</v>
      </c>
      <c r="D56" s="616">
        <v>0.13</v>
      </c>
      <c r="E56" s="616">
        <v>0.02</v>
      </c>
      <c r="F56" s="617">
        <v>0.97</v>
      </c>
      <c r="G56" s="528">
        <v>185.4</v>
      </c>
      <c r="H56" s="527">
        <v>60.26</v>
      </c>
      <c r="I56" s="527">
        <v>9.27</v>
      </c>
      <c r="J56" s="527">
        <v>1445.48</v>
      </c>
      <c r="K56" s="231"/>
      <c r="L56" s="231"/>
      <c r="M56" s="231"/>
      <c r="N56" s="231"/>
    </row>
    <row r="57" spans="1:14" x14ac:dyDescent="0.2">
      <c r="A57" s="195"/>
      <c r="B57" s="394"/>
      <c r="C57" s="614"/>
      <c r="D57" s="614"/>
      <c r="E57" s="614"/>
      <c r="F57" s="614"/>
      <c r="G57" s="394"/>
      <c r="H57" s="394"/>
      <c r="I57" s="394"/>
      <c r="J57" s="394"/>
      <c r="K57" s="231"/>
      <c r="L57" s="231"/>
      <c r="M57" s="231"/>
      <c r="N57" s="231"/>
    </row>
    <row r="58" spans="1:14" x14ac:dyDescent="0.2">
      <c r="A58" s="646" t="s">
        <v>56</v>
      </c>
      <c r="B58" s="647"/>
      <c r="C58" s="648"/>
      <c r="D58" s="648"/>
      <c r="E58" s="648"/>
      <c r="F58" s="648"/>
      <c r="G58" s="647"/>
      <c r="H58" s="647"/>
      <c r="I58" s="647"/>
      <c r="J58" s="647"/>
      <c r="K58" s="490"/>
      <c r="L58" s="490"/>
      <c r="M58" s="490"/>
      <c r="N58" s="490"/>
    </row>
    <row r="59" spans="1:14" ht="41.25" customHeight="1" x14ac:dyDescent="0.2">
      <c r="A59" s="649" t="s">
        <v>666</v>
      </c>
      <c r="B59" s="649"/>
      <c r="C59" s="649"/>
      <c r="D59" s="649"/>
      <c r="E59" s="649"/>
      <c r="F59" s="649"/>
      <c r="G59" s="649"/>
      <c r="H59" s="649"/>
      <c r="I59" s="649"/>
      <c r="J59" s="649"/>
      <c r="K59" s="649"/>
      <c r="L59" s="649"/>
      <c r="M59" s="649"/>
      <c r="N59" s="649"/>
    </row>
    <row r="60" spans="1:14" ht="27" customHeight="1" x14ac:dyDescent="0.2">
      <c r="A60" s="649" t="s">
        <v>659</v>
      </c>
      <c r="B60" s="649"/>
      <c r="C60" s="649"/>
      <c r="D60" s="649"/>
      <c r="E60" s="649"/>
      <c r="F60" s="649"/>
      <c r="G60" s="649"/>
      <c r="H60" s="649"/>
      <c r="I60" s="649"/>
      <c r="J60" s="649"/>
      <c r="K60" s="649"/>
      <c r="L60" s="649"/>
      <c r="M60" s="649"/>
      <c r="N60" s="649"/>
    </row>
    <row r="61" spans="1:14" x14ac:dyDescent="0.2">
      <c r="A61" s="649" t="s">
        <v>660</v>
      </c>
      <c r="B61" s="649"/>
      <c r="C61" s="649"/>
      <c r="D61" s="649"/>
      <c r="E61" s="649"/>
      <c r="F61" s="649"/>
      <c r="G61" s="649"/>
      <c r="H61" s="649"/>
      <c r="I61" s="649"/>
      <c r="J61" s="649"/>
      <c r="K61" s="649"/>
      <c r="L61" s="649"/>
      <c r="M61" s="649"/>
      <c r="N61" s="649"/>
    </row>
    <row r="62" spans="1:14" x14ac:dyDescent="0.2">
      <c r="A62" s="649" t="s">
        <v>661</v>
      </c>
      <c r="B62" s="649"/>
      <c r="C62" s="649"/>
      <c r="D62" s="649"/>
      <c r="E62" s="649"/>
      <c r="F62" s="649"/>
      <c r="G62" s="649"/>
      <c r="H62" s="649"/>
      <c r="I62" s="649"/>
      <c r="J62" s="649"/>
      <c r="K62" s="649"/>
      <c r="L62" s="649"/>
      <c r="M62" s="649"/>
      <c r="N62" s="649"/>
    </row>
    <row r="63" spans="1:14" x14ac:dyDescent="0.2">
      <c r="A63" s="649" t="s">
        <v>662</v>
      </c>
      <c r="B63" s="649"/>
      <c r="C63" s="649"/>
      <c r="D63" s="649"/>
      <c r="E63" s="649"/>
      <c r="F63" s="649"/>
      <c r="G63" s="649"/>
      <c r="H63" s="649"/>
      <c r="I63" s="649"/>
      <c r="J63" s="649"/>
      <c r="K63" s="649"/>
      <c r="L63" s="649"/>
      <c r="M63" s="649"/>
      <c r="N63" s="649"/>
    </row>
    <row r="64" spans="1:14" x14ac:dyDescent="0.2">
      <c r="A64" s="650" t="s">
        <v>663</v>
      </c>
      <c r="B64" s="650"/>
      <c r="C64" s="650"/>
      <c r="D64" s="650"/>
      <c r="E64" s="650"/>
      <c r="F64" s="650"/>
      <c r="G64" s="650"/>
      <c r="H64" s="650"/>
      <c r="I64" s="650"/>
      <c r="J64" s="650"/>
      <c r="K64" s="650"/>
      <c r="L64" s="650"/>
      <c r="M64" s="650"/>
      <c r="N64" s="650"/>
    </row>
    <row r="65" spans="1:14" ht="17.25" customHeight="1" x14ac:dyDescent="0.2">
      <c r="A65" s="650" t="s">
        <v>664</v>
      </c>
      <c r="B65" s="650"/>
      <c r="C65" s="650"/>
      <c r="D65" s="650"/>
      <c r="E65" s="650"/>
      <c r="F65" s="650"/>
      <c r="G65" s="650"/>
      <c r="H65" s="650"/>
      <c r="I65" s="650"/>
      <c r="J65" s="650"/>
      <c r="K65" s="650"/>
      <c r="L65" s="650"/>
      <c r="M65" s="650"/>
      <c r="N65" s="650"/>
    </row>
    <row r="66" spans="1:14" ht="28.5" customHeight="1" x14ac:dyDescent="0.2">
      <c r="A66" s="650" t="s">
        <v>667</v>
      </c>
      <c r="B66" s="650"/>
      <c r="C66" s="650"/>
      <c r="D66" s="650"/>
      <c r="E66" s="650"/>
      <c r="F66" s="650"/>
      <c r="G66" s="650"/>
      <c r="H66" s="650"/>
      <c r="I66" s="650"/>
      <c r="J66" s="650"/>
      <c r="K66" s="650"/>
      <c r="L66" s="650"/>
      <c r="M66" s="650"/>
      <c r="N66" s="650"/>
    </row>
  </sheetData>
  <mergeCells count="22">
    <mergeCell ref="A27:N27"/>
    <mergeCell ref="A1:A2"/>
    <mergeCell ref="B1:B2"/>
    <mergeCell ref="C1:H1"/>
    <mergeCell ref="I1:N1"/>
    <mergeCell ref="A3:N3"/>
    <mergeCell ref="A34:N34"/>
    <mergeCell ref="A40:N40"/>
    <mergeCell ref="A45:N45"/>
    <mergeCell ref="A51:A52"/>
    <mergeCell ref="B51:B52"/>
    <mergeCell ref="C51:F51"/>
    <mergeCell ref="G51:J51"/>
    <mergeCell ref="A64:N64"/>
    <mergeCell ref="A65:N65"/>
    <mergeCell ref="A66:N66"/>
    <mergeCell ref="A53:J53"/>
    <mergeCell ref="A59:N59"/>
    <mergeCell ref="A60:N60"/>
    <mergeCell ref="A61:N61"/>
    <mergeCell ref="A62:N62"/>
    <mergeCell ref="A63:N63"/>
  </mergeCell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rgb="FF4981BF"/>
    <pageSetUpPr fitToPage="1"/>
  </sheetPr>
  <dimension ref="A1:AV35"/>
  <sheetViews>
    <sheetView view="pageBreakPreview" zoomScale="55" zoomScaleNormal="100" zoomScaleSheetLayoutView="55" zoomScalePageLayoutView="85" workbookViewId="0">
      <selection sqref="A1:AM34"/>
    </sheetView>
  </sheetViews>
  <sheetFormatPr defaultColWidth="8.85546875" defaultRowHeight="12.75" outlineLevelCol="1" x14ac:dyDescent="0.2"/>
  <cols>
    <col min="1" max="1" width="60.7109375" style="22" customWidth="1"/>
    <col min="2" max="21" width="7.7109375" style="48" customWidth="1"/>
    <col min="22" max="30" width="10.7109375" style="48" hidden="1" customWidth="1" outlineLevel="1"/>
    <col min="31" max="33" width="10.7109375" style="22" hidden="1" customWidth="1" outlineLevel="1"/>
    <col min="34" max="39" width="10.7109375" style="48" hidden="1" customWidth="1" outlineLevel="1"/>
    <col min="40" max="40" width="10.7109375" style="22" customWidth="1" collapsed="1"/>
    <col min="41" max="43" width="8.85546875" style="22"/>
    <col min="44" max="44" width="11.5703125" style="22" bestFit="1" customWidth="1"/>
    <col min="45" max="16384" width="8.85546875" style="22"/>
  </cols>
  <sheetData>
    <row r="1" spans="1:48" ht="30" customHeight="1" thickBot="1" x14ac:dyDescent="0.25">
      <c r="A1" s="401" t="s">
        <v>379</v>
      </c>
      <c r="B1" s="402"/>
      <c r="C1" s="402"/>
      <c r="D1" s="402"/>
      <c r="E1" s="402"/>
      <c r="F1" s="402"/>
      <c r="G1" s="402"/>
      <c r="H1" s="402"/>
      <c r="I1" s="402"/>
      <c r="J1" s="402"/>
      <c r="K1" s="402"/>
      <c r="L1" s="402"/>
      <c r="M1" s="402"/>
      <c r="N1" s="402"/>
      <c r="O1" s="402"/>
      <c r="P1" s="402"/>
      <c r="Q1" s="402"/>
      <c r="R1" s="402"/>
      <c r="S1" s="424"/>
      <c r="T1" s="424"/>
      <c r="U1" s="424"/>
      <c r="V1" s="21"/>
      <c r="W1" s="21"/>
      <c r="X1" s="21"/>
      <c r="Y1" s="21"/>
      <c r="Z1" s="21"/>
      <c r="AA1" s="21"/>
      <c r="AB1" s="21"/>
      <c r="AC1" s="21"/>
      <c r="AD1" s="21"/>
      <c r="AE1" s="21"/>
      <c r="AF1" s="21"/>
      <c r="AG1" s="21"/>
      <c r="AH1" s="21"/>
      <c r="AI1" s="21"/>
      <c r="AJ1" s="21"/>
      <c r="AK1" s="21"/>
      <c r="AL1" s="449"/>
      <c r="AM1" s="449"/>
    </row>
    <row r="2" spans="1:48" s="108" customFormat="1" ht="30" customHeight="1" thickBot="1" x14ac:dyDescent="0.3">
      <c r="A2" s="403" t="s">
        <v>177</v>
      </c>
      <c r="B2" s="23">
        <v>2009</v>
      </c>
      <c r="C2" s="23" t="s">
        <v>208</v>
      </c>
      <c r="D2" s="23">
        <v>2010</v>
      </c>
      <c r="E2" s="23" t="s">
        <v>209</v>
      </c>
      <c r="F2" s="23">
        <v>2011</v>
      </c>
      <c r="G2" s="23" t="s">
        <v>210</v>
      </c>
      <c r="H2" s="23">
        <v>2012</v>
      </c>
      <c r="I2" s="23" t="s">
        <v>211</v>
      </c>
      <c r="J2" s="23">
        <v>2013</v>
      </c>
      <c r="K2" s="23" t="s">
        <v>212</v>
      </c>
      <c r="L2" s="23">
        <v>2014</v>
      </c>
      <c r="M2" s="23" t="s">
        <v>213</v>
      </c>
      <c r="N2" s="23">
        <v>2015</v>
      </c>
      <c r="O2" s="23" t="s">
        <v>343</v>
      </c>
      <c r="P2" s="23">
        <v>2016</v>
      </c>
      <c r="Q2" s="23" t="s">
        <v>405</v>
      </c>
      <c r="R2" s="23">
        <v>2017</v>
      </c>
      <c r="S2" s="23" t="s">
        <v>431</v>
      </c>
      <c r="T2" s="23">
        <v>2018</v>
      </c>
      <c r="U2" s="23" t="s">
        <v>577</v>
      </c>
      <c r="V2" s="23" t="s">
        <v>232</v>
      </c>
      <c r="W2" s="23" t="s">
        <v>220</v>
      </c>
      <c r="X2" s="23" t="s">
        <v>233</v>
      </c>
      <c r="Y2" s="23" t="s">
        <v>234</v>
      </c>
      <c r="Z2" s="23" t="s">
        <v>223</v>
      </c>
      <c r="AA2" s="23" t="s">
        <v>235</v>
      </c>
      <c r="AB2" s="23" t="s">
        <v>236</v>
      </c>
      <c r="AC2" s="23" t="s">
        <v>237</v>
      </c>
      <c r="AD2" s="23" t="s">
        <v>238</v>
      </c>
      <c r="AE2" s="23" t="s">
        <v>239</v>
      </c>
      <c r="AF2" s="23" t="s">
        <v>337</v>
      </c>
      <c r="AG2" s="23" t="s">
        <v>342</v>
      </c>
      <c r="AH2" s="23" t="s">
        <v>368</v>
      </c>
      <c r="AI2" s="23" t="s">
        <v>409</v>
      </c>
      <c r="AJ2" s="23" t="s">
        <v>419</v>
      </c>
      <c r="AK2" s="23" t="s">
        <v>435</v>
      </c>
      <c r="AL2" s="23" t="s">
        <v>490</v>
      </c>
      <c r="AM2" s="23" t="s">
        <v>588</v>
      </c>
      <c r="AN2" s="107" t="s">
        <v>215</v>
      </c>
    </row>
    <row r="3" spans="1:48" ht="15" customHeight="1" x14ac:dyDescent="0.25">
      <c r="A3" s="26" t="s">
        <v>21</v>
      </c>
      <c r="B3" s="27">
        <v>8542</v>
      </c>
      <c r="C3" s="27">
        <v>5904</v>
      </c>
      <c r="D3" s="27">
        <v>12775</v>
      </c>
      <c r="E3" s="27">
        <v>7335</v>
      </c>
      <c r="F3" s="27">
        <v>14122</v>
      </c>
      <c r="G3" s="27">
        <v>5929</v>
      </c>
      <c r="H3" s="27">
        <v>12366</v>
      </c>
      <c r="I3" s="27">
        <v>5686</v>
      </c>
      <c r="J3" s="27">
        <v>11499</v>
      </c>
      <c r="K3" s="27">
        <v>5708</v>
      </c>
      <c r="L3" s="27">
        <v>11869</v>
      </c>
      <c r="M3" s="27">
        <v>4907</v>
      </c>
      <c r="N3" s="27">
        <v>8542</v>
      </c>
      <c r="O3" s="308">
        <v>3843</v>
      </c>
      <c r="P3" s="308">
        <v>8259</v>
      </c>
      <c r="Q3" s="308">
        <v>4248</v>
      </c>
      <c r="R3" s="308">
        <v>9146</v>
      </c>
      <c r="S3" s="308">
        <v>5834</v>
      </c>
      <c r="T3" s="308">
        <v>11670</v>
      </c>
      <c r="U3" s="308">
        <v>6292</v>
      </c>
      <c r="V3" s="29">
        <v>0.4955513931163662</v>
      </c>
      <c r="W3" s="29">
        <v>0.24237804878048785</v>
      </c>
      <c r="X3" s="29">
        <v>0.105440313111546</v>
      </c>
      <c r="Y3" s="29">
        <v>-0.19168370824812542</v>
      </c>
      <c r="Z3" s="29">
        <v>-0.12434499362696505</v>
      </c>
      <c r="AA3" s="29">
        <v>-4.0984989036937036E-2</v>
      </c>
      <c r="AB3" s="29">
        <v>-7.011159631246966E-2</v>
      </c>
      <c r="AC3" s="29">
        <v>3.8691523039042774E-3</v>
      </c>
      <c r="AD3" s="29">
        <v>3.2176711018349513E-2</v>
      </c>
      <c r="AE3" s="29">
        <v>-0.14032936229852833</v>
      </c>
      <c r="AF3" s="29">
        <v>-0.28031005139438869</v>
      </c>
      <c r="AG3" s="29">
        <v>-0.2168330955777461</v>
      </c>
      <c r="AH3" s="29">
        <v>-3.3130414422851806E-2</v>
      </c>
      <c r="AI3" s="29">
        <v>0.10538641686182659</v>
      </c>
      <c r="AJ3" s="29">
        <v>0.10739799007143724</v>
      </c>
      <c r="AK3" s="29">
        <f t="shared" ref="AK3:AK18" si="0">T3/Q3-1</f>
        <v>1.7471751412429377</v>
      </c>
      <c r="AL3" s="29">
        <v>0.27596763612508202</v>
      </c>
      <c r="AM3" s="563">
        <v>7.8505313678436828E-2</v>
      </c>
      <c r="AN3" s="30"/>
    </row>
    <row r="4" spans="1:48" ht="15" customHeight="1" x14ac:dyDescent="0.2">
      <c r="A4" s="26" t="s">
        <v>61</v>
      </c>
      <c r="B4" s="27">
        <v>4198</v>
      </c>
      <c r="C4" s="27">
        <v>3249</v>
      </c>
      <c r="D4" s="27">
        <v>7209</v>
      </c>
      <c r="E4" s="27">
        <v>3743</v>
      </c>
      <c r="F4" s="27">
        <v>7239</v>
      </c>
      <c r="G4" s="27">
        <v>2494</v>
      </c>
      <c r="H4" s="27">
        <v>4932</v>
      </c>
      <c r="I4" s="27">
        <v>2299</v>
      </c>
      <c r="J4" s="27">
        <v>4198</v>
      </c>
      <c r="K4" s="27">
        <v>2496</v>
      </c>
      <c r="L4" s="27">
        <v>5681</v>
      </c>
      <c r="M4" s="27">
        <v>2708</v>
      </c>
      <c r="N4" s="27">
        <v>4296</v>
      </c>
      <c r="O4" s="308">
        <v>1795</v>
      </c>
      <c r="P4" s="308">
        <v>3899</v>
      </c>
      <c r="Q4" s="308">
        <v>1744</v>
      </c>
      <c r="R4" s="308">
        <v>3995</v>
      </c>
      <c r="S4" s="308">
        <v>3079</v>
      </c>
      <c r="T4" s="308">
        <v>6231</v>
      </c>
      <c r="U4" s="308">
        <v>3719</v>
      </c>
      <c r="V4" s="29">
        <v>0.71724630776560261</v>
      </c>
      <c r="W4" s="29">
        <v>0.1520467836257311</v>
      </c>
      <c r="X4" s="29">
        <v>4.1614648356220751E-3</v>
      </c>
      <c r="Y4" s="29">
        <v>-0.33368955383382315</v>
      </c>
      <c r="Z4" s="29">
        <v>-0.31869042685453797</v>
      </c>
      <c r="AA4" s="29">
        <v>-7.8187650360866057E-2</v>
      </c>
      <c r="AB4" s="29">
        <v>-0.14882400648824001</v>
      </c>
      <c r="AC4" s="29">
        <v>8.5689430187037896E-2</v>
      </c>
      <c r="AD4" s="29">
        <v>0.35326345878989995</v>
      </c>
      <c r="AE4" s="29">
        <v>8.4935897435897356E-2</v>
      </c>
      <c r="AF4" s="29">
        <v>-0.24379510649533531</v>
      </c>
      <c r="AG4" s="29">
        <v>-0.33714918759231904</v>
      </c>
      <c r="AH4" s="29">
        <v>-9.2411545623836133E-2</v>
      </c>
      <c r="AI4" s="29">
        <v>-2.8412256267409508E-2</v>
      </c>
      <c r="AJ4" s="29">
        <v>2.4621697871249015E-2</v>
      </c>
      <c r="AK4" s="29">
        <f t="shared" si="0"/>
        <v>2.5728211009174311</v>
      </c>
      <c r="AL4" s="29">
        <v>0.55969962453066335</v>
      </c>
      <c r="AM4" s="29">
        <v>0.20785969470607335</v>
      </c>
      <c r="AN4" s="31"/>
      <c r="AO4" s="32"/>
    </row>
    <row r="5" spans="1:48" ht="15" customHeight="1" x14ac:dyDescent="0.2">
      <c r="A5" s="26" t="s">
        <v>62</v>
      </c>
      <c r="B5" s="33">
        <v>49.145399203933508</v>
      </c>
      <c r="C5" s="33">
        <v>55.030487804878049</v>
      </c>
      <c r="D5" s="33">
        <v>56.430528375733857</v>
      </c>
      <c r="E5" s="33">
        <v>51.029311520109069</v>
      </c>
      <c r="F5" s="33">
        <v>51.260444696218663</v>
      </c>
      <c r="G5" s="33">
        <v>42.064429077416086</v>
      </c>
      <c r="H5" s="33">
        <v>39.883551673944687</v>
      </c>
      <c r="I5" s="33">
        <v>40.432641575800211</v>
      </c>
      <c r="J5" s="33">
        <v>36.507522393251584</v>
      </c>
      <c r="K5" s="33">
        <v>43.728100911002102</v>
      </c>
      <c r="L5" s="33">
        <v>47.864184008762322</v>
      </c>
      <c r="M5" s="33">
        <v>55.186468310576728</v>
      </c>
      <c r="N5" s="33">
        <v>50.290447400096326</v>
      </c>
      <c r="O5" s="34">
        <v>46.708300806661462</v>
      </c>
      <c r="P5" s="34">
        <v>47.20910521854946</v>
      </c>
      <c r="Q5" s="34">
        <v>41.054613935969869</v>
      </c>
      <c r="R5" s="34">
        <v>43.680297397769522</v>
      </c>
      <c r="S5" s="34">
        <v>52.776825505656497</v>
      </c>
      <c r="T5" s="34">
        <v>53.393316195372755</v>
      </c>
      <c r="U5" s="34">
        <v>59.106802288620472</v>
      </c>
      <c r="V5" s="29">
        <v>0.14823623960342691</v>
      </c>
      <c r="W5" s="29">
        <v>-7.2708355756466836E-2</v>
      </c>
      <c r="X5" s="29">
        <v>-9.1618558754066548E-2</v>
      </c>
      <c r="Y5" s="29">
        <v>-0.17568103851764094</v>
      </c>
      <c r="Z5" s="29">
        <v>-0.22194292479700661</v>
      </c>
      <c r="AA5" s="29">
        <v>-3.8792574567283578E-2</v>
      </c>
      <c r="AB5" s="29">
        <v>-8.46471575122687E-2</v>
      </c>
      <c r="AC5" s="29">
        <v>8.1504922922827072E-2</v>
      </c>
      <c r="AD5" s="29">
        <v>0.31107730327955685</v>
      </c>
      <c r="AE5" s="29">
        <v>0.2620367031921953</v>
      </c>
      <c r="AF5" s="29">
        <v>5.0690582981417487E-2</v>
      </c>
      <c r="AG5" s="29">
        <v>-0.1536276511880067</v>
      </c>
      <c r="AH5" s="29">
        <v>-6.127092401927936E-2</v>
      </c>
      <c r="AI5" s="29">
        <v>-0.12104244369954209</v>
      </c>
      <c r="AJ5" s="29">
        <v>-7.4748458045194921E-2</v>
      </c>
      <c r="AK5" s="29">
        <f t="shared" si="0"/>
        <v>0.30054361925426298</v>
      </c>
      <c r="AL5" s="29">
        <v>0.2223661324727888</v>
      </c>
      <c r="AM5" s="29">
        <v>0.11993856626116206</v>
      </c>
      <c r="AN5" s="35"/>
      <c r="AO5" s="32"/>
    </row>
    <row r="6" spans="1:48" ht="15" customHeight="1" x14ac:dyDescent="0.2">
      <c r="A6" s="26" t="s">
        <v>178</v>
      </c>
      <c r="B6" s="27">
        <v>2651</v>
      </c>
      <c r="C6" s="27">
        <v>2345</v>
      </c>
      <c r="D6" s="27">
        <v>3089</v>
      </c>
      <c r="E6" s="27">
        <v>1818</v>
      </c>
      <c r="F6" s="27">
        <v>3626</v>
      </c>
      <c r="G6" s="27">
        <v>1481</v>
      </c>
      <c r="H6" s="27">
        <v>2143</v>
      </c>
      <c r="I6" s="27">
        <v>545</v>
      </c>
      <c r="J6" s="27">
        <v>765</v>
      </c>
      <c r="K6" s="27">
        <v>1456</v>
      </c>
      <c r="L6" s="27">
        <v>2000</v>
      </c>
      <c r="M6" s="27">
        <v>1493</v>
      </c>
      <c r="N6" s="27">
        <v>1716</v>
      </c>
      <c r="O6" s="308">
        <v>1304</v>
      </c>
      <c r="P6" s="308">
        <v>2531</v>
      </c>
      <c r="Q6" s="308">
        <v>915</v>
      </c>
      <c r="R6" s="308">
        <v>2123</v>
      </c>
      <c r="S6" s="308">
        <v>1653</v>
      </c>
      <c r="T6" s="308">
        <v>3059</v>
      </c>
      <c r="U6" s="308">
        <v>2997</v>
      </c>
      <c r="V6" s="29">
        <v>0.16522067144473773</v>
      </c>
      <c r="W6" s="29">
        <v>-0.22473347547974409</v>
      </c>
      <c r="X6" s="29">
        <v>0.17384266752994493</v>
      </c>
      <c r="Y6" s="29">
        <v>-0.18536853685368537</v>
      </c>
      <c r="Z6" s="29">
        <v>-0.40899062327633762</v>
      </c>
      <c r="AA6" s="29">
        <v>-0.63200540175557052</v>
      </c>
      <c r="AB6" s="29">
        <v>-0.64302379841343904</v>
      </c>
      <c r="AC6" s="29">
        <v>1.6715596330275231</v>
      </c>
      <c r="AD6" s="29">
        <v>1.6143790849673203</v>
      </c>
      <c r="AE6" s="29">
        <v>2.5412087912087822E-2</v>
      </c>
      <c r="AF6" s="29">
        <v>-0.14200000000000002</v>
      </c>
      <c r="AG6" s="29">
        <v>-0.12659075686537169</v>
      </c>
      <c r="AH6" s="29">
        <v>0.47494172494172493</v>
      </c>
      <c r="AI6" s="29">
        <v>-0.29831288343558282</v>
      </c>
      <c r="AJ6" s="29">
        <v>-0.16120110628210194</v>
      </c>
      <c r="AK6" s="29">
        <f t="shared" si="0"/>
        <v>2.3431693989071039</v>
      </c>
      <c r="AL6" s="29">
        <v>0.44088553933113528</v>
      </c>
      <c r="AM6" s="29">
        <v>0.81306715063520874</v>
      </c>
      <c r="AN6" s="35"/>
      <c r="AO6" s="42"/>
    </row>
    <row r="7" spans="1:48" ht="15" customHeight="1" x14ac:dyDescent="0.2">
      <c r="A7" s="36"/>
      <c r="B7" s="13"/>
      <c r="C7" s="13"/>
      <c r="D7" s="13"/>
      <c r="E7" s="13"/>
      <c r="F7" s="13"/>
      <c r="G7" s="13"/>
      <c r="H7" s="13"/>
      <c r="I7" s="13"/>
      <c r="J7" s="13"/>
      <c r="K7" s="13"/>
      <c r="L7" s="13"/>
      <c r="M7" s="13"/>
      <c r="N7" s="13"/>
      <c r="O7" s="13"/>
      <c r="P7" s="13"/>
      <c r="Q7" s="13"/>
      <c r="R7" s="13"/>
      <c r="S7" s="13"/>
      <c r="T7" s="13"/>
      <c r="U7" s="13"/>
      <c r="V7" s="37"/>
      <c r="W7" s="37"/>
      <c r="X7" s="37"/>
      <c r="Y7" s="37"/>
      <c r="Z7" s="37"/>
      <c r="AA7" s="37"/>
      <c r="AB7" s="37"/>
      <c r="AC7" s="37"/>
      <c r="AD7" s="37"/>
      <c r="AE7" s="37"/>
      <c r="AF7" s="37"/>
      <c r="AG7" s="37"/>
      <c r="AH7" s="37"/>
      <c r="AI7" s="37"/>
      <c r="AJ7" s="37"/>
      <c r="AK7" s="37"/>
      <c r="AL7" s="37"/>
      <c r="AM7" s="37"/>
      <c r="AN7" s="38"/>
      <c r="AO7" s="32"/>
    </row>
    <row r="8" spans="1:48" ht="15" customHeight="1" x14ac:dyDescent="0.2">
      <c r="A8" s="26" t="s">
        <v>179</v>
      </c>
      <c r="B8" s="27">
        <v>3401</v>
      </c>
      <c r="C8" s="27">
        <v>2445</v>
      </c>
      <c r="D8" s="27">
        <v>5514</v>
      </c>
      <c r="E8" s="27">
        <v>1778</v>
      </c>
      <c r="F8" s="27">
        <v>4702</v>
      </c>
      <c r="G8" s="27">
        <v>1658</v>
      </c>
      <c r="H8" s="27">
        <v>3434</v>
      </c>
      <c r="I8" s="27">
        <v>1691</v>
      </c>
      <c r="J8" s="27">
        <v>4344</v>
      </c>
      <c r="K8" s="27">
        <v>2823</v>
      </c>
      <c r="L8" s="27">
        <v>5947</v>
      </c>
      <c r="M8" s="27">
        <v>2560</v>
      </c>
      <c r="N8" s="27">
        <v>3705</v>
      </c>
      <c r="O8" s="308">
        <v>1524</v>
      </c>
      <c r="P8" s="308">
        <v>3492</v>
      </c>
      <c r="Q8" s="308">
        <v>1167</v>
      </c>
      <c r="R8" s="308">
        <v>1763</v>
      </c>
      <c r="S8" s="308">
        <v>3143</v>
      </c>
      <c r="T8" s="308">
        <v>6494</v>
      </c>
      <c r="U8" s="308">
        <v>2587.0230033787998</v>
      </c>
      <c r="V8" s="29">
        <v>0.62128785651279039</v>
      </c>
      <c r="W8" s="29">
        <v>-0.27280163599182006</v>
      </c>
      <c r="X8" s="29">
        <v>-0.14726151614073268</v>
      </c>
      <c r="Y8" s="29">
        <v>-6.7491563554555656E-2</v>
      </c>
      <c r="Z8" s="29">
        <v>-0.26967247979583153</v>
      </c>
      <c r="AA8" s="29">
        <v>1.9903498190591007E-2</v>
      </c>
      <c r="AB8" s="29">
        <v>0.26499708794408861</v>
      </c>
      <c r="AC8" s="29">
        <v>0.66942637492607915</v>
      </c>
      <c r="AD8" s="29">
        <v>0.36901473296500931</v>
      </c>
      <c r="AE8" s="29">
        <v>-9.3163301452355629E-2</v>
      </c>
      <c r="AF8" s="29">
        <v>-0.3769968051118211</v>
      </c>
      <c r="AG8" s="29">
        <v>-0.4048739607748828</v>
      </c>
      <c r="AH8" s="29">
        <v>-5.7489878542510087E-2</v>
      </c>
      <c r="AI8" s="29">
        <v>-0.23139744678747942</v>
      </c>
      <c r="AJ8" s="29">
        <v>-0.49515723258370559</v>
      </c>
      <c r="AK8" s="29">
        <f t="shared" si="0"/>
        <v>4.5646958011996572</v>
      </c>
      <c r="AL8" s="29">
        <v>2.6834940442427682</v>
      </c>
      <c r="AM8" s="29">
        <v>-0.17689373102806238</v>
      </c>
      <c r="AN8" s="39"/>
      <c r="AO8" s="32"/>
    </row>
    <row r="9" spans="1:48" ht="15" customHeight="1" x14ac:dyDescent="0.2">
      <c r="A9" s="26" t="s">
        <v>180</v>
      </c>
      <c r="B9" s="27">
        <v>-468</v>
      </c>
      <c r="C9" s="27">
        <v>-1802</v>
      </c>
      <c r="D9" s="27">
        <v>-1443</v>
      </c>
      <c r="E9" s="27">
        <v>-1222</v>
      </c>
      <c r="F9" s="27">
        <v>-1876</v>
      </c>
      <c r="G9" s="27">
        <v>-1275</v>
      </c>
      <c r="H9" s="27">
        <v>-2914</v>
      </c>
      <c r="I9" s="27">
        <v>-842</v>
      </c>
      <c r="J9" s="27">
        <v>-1738</v>
      </c>
      <c r="K9" s="27">
        <v>-452</v>
      </c>
      <c r="L9" s="27">
        <v>-1222</v>
      </c>
      <c r="M9" s="27">
        <v>-381</v>
      </c>
      <c r="N9" s="27">
        <v>-1300</v>
      </c>
      <c r="O9" s="308">
        <v>-905</v>
      </c>
      <c r="P9" s="308">
        <v>-1901</v>
      </c>
      <c r="Q9" s="308">
        <v>-655</v>
      </c>
      <c r="R9" s="308">
        <v>-1936</v>
      </c>
      <c r="S9" s="308">
        <v>-543</v>
      </c>
      <c r="T9" s="308">
        <v>-1561.7936620176999</v>
      </c>
      <c r="U9" s="308">
        <v>-380.75480158599999</v>
      </c>
      <c r="V9" s="29">
        <v>2.0833333333333335</v>
      </c>
      <c r="W9" s="29">
        <v>-0.32186459489456165</v>
      </c>
      <c r="X9" s="29">
        <v>0.30006930006929999</v>
      </c>
      <c r="Y9" s="29">
        <v>4.3371522094926451E-2</v>
      </c>
      <c r="Z9" s="29">
        <v>0.55330490405117261</v>
      </c>
      <c r="AA9" s="29">
        <v>-0.33960784313725489</v>
      </c>
      <c r="AB9" s="29">
        <v>-0.40356897735072061</v>
      </c>
      <c r="AC9" s="29">
        <v>-0.46318289786223277</v>
      </c>
      <c r="AD9" s="29">
        <v>-0.29689298043728418</v>
      </c>
      <c r="AE9" s="29">
        <v>-0.15707964601769908</v>
      </c>
      <c r="AF9" s="29">
        <v>6.3829787234042534E-2</v>
      </c>
      <c r="AG9" s="29">
        <v>1.374702103592651</v>
      </c>
      <c r="AH9" s="29">
        <v>0.46205684978323069</v>
      </c>
      <c r="AI9" s="29">
        <v>-0.27137004046669932</v>
      </c>
      <c r="AJ9" s="29">
        <v>1.8474808795255315E-2</v>
      </c>
      <c r="AK9" s="29">
        <f t="shared" si="0"/>
        <v>1.3844178046071756</v>
      </c>
      <c r="AL9" s="29">
        <v>-0.19328839771813022</v>
      </c>
      <c r="AM9" s="29">
        <v>-0.29879410389318606</v>
      </c>
      <c r="AN9" s="39"/>
      <c r="AO9" s="32"/>
    </row>
    <row r="10" spans="1:48" ht="15" customHeight="1" x14ac:dyDescent="0.2">
      <c r="A10" s="26" t="s">
        <v>181</v>
      </c>
      <c r="B10" s="27">
        <v>-1187</v>
      </c>
      <c r="C10" s="27">
        <v>-1941</v>
      </c>
      <c r="D10" s="27">
        <v>-2034</v>
      </c>
      <c r="E10" s="27">
        <v>-3102</v>
      </c>
      <c r="F10" s="27">
        <v>-6644</v>
      </c>
      <c r="G10" s="27">
        <v>-1021</v>
      </c>
      <c r="H10" s="27">
        <v>-1164</v>
      </c>
      <c r="I10" s="27">
        <v>-20</v>
      </c>
      <c r="J10" s="27">
        <v>-1975</v>
      </c>
      <c r="K10" s="27">
        <v>-1351</v>
      </c>
      <c r="L10" s="27">
        <v>-2979</v>
      </c>
      <c r="M10" s="27">
        <v>-2234</v>
      </c>
      <c r="N10" s="27">
        <v>-998</v>
      </c>
      <c r="O10" s="308">
        <v>-1237</v>
      </c>
      <c r="P10" s="308">
        <v>-2399</v>
      </c>
      <c r="Q10" s="308">
        <v>-1156</v>
      </c>
      <c r="R10" s="308">
        <v>-2237</v>
      </c>
      <c r="S10" s="308">
        <v>61</v>
      </c>
      <c r="T10" s="308">
        <v>-4304.3501978660997</v>
      </c>
      <c r="U10" s="308">
        <v>-139.35438482949999</v>
      </c>
      <c r="V10" s="29">
        <v>0.71356360572872779</v>
      </c>
      <c r="W10" s="29">
        <v>0.59814528593508509</v>
      </c>
      <c r="X10" s="29">
        <v>2.2664700098328416</v>
      </c>
      <c r="Y10" s="29">
        <v>-0.67085751128304327</v>
      </c>
      <c r="Z10" s="29">
        <v>-0.82480433473810955</v>
      </c>
      <c r="AA10" s="29">
        <v>-0.98041136141038199</v>
      </c>
      <c r="AB10" s="29">
        <v>0.6967353951890034</v>
      </c>
      <c r="AC10" s="29">
        <v>66.55</v>
      </c>
      <c r="AD10" s="29">
        <v>0.50835443037974692</v>
      </c>
      <c r="AE10" s="29">
        <v>0.65358993338267957</v>
      </c>
      <c r="AF10" s="29">
        <v>-0.66498825109097015</v>
      </c>
      <c r="AG10" s="29">
        <v>-0.44646914216441358</v>
      </c>
      <c r="AH10" s="29">
        <v>1.403942117311022</v>
      </c>
      <c r="AI10" s="29">
        <v>-6.4836209506544007E-2</v>
      </c>
      <c r="AJ10" s="29">
        <v>-6.7762385980310924E-2</v>
      </c>
      <c r="AK10" s="29">
        <f t="shared" si="0"/>
        <v>2.7234863303339965</v>
      </c>
      <c r="AL10" s="29">
        <v>0.92416191232279821</v>
      </c>
      <c r="AM10" s="29">
        <v>-3.2844981119590164</v>
      </c>
      <c r="AN10" s="39"/>
      <c r="AO10" s="32"/>
      <c r="AP10" s="32"/>
      <c r="AQ10" s="32"/>
      <c r="AR10" s="32"/>
    </row>
    <row r="11" spans="1:48" ht="15" customHeight="1" x14ac:dyDescent="0.2">
      <c r="A11" s="26" t="s">
        <v>182</v>
      </c>
      <c r="B11" s="27">
        <v>1091</v>
      </c>
      <c r="C11" s="27">
        <v>719</v>
      </c>
      <c r="D11" s="27">
        <v>1752</v>
      </c>
      <c r="E11" s="27">
        <v>1051</v>
      </c>
      <c r="F11" s="27">
        <v>2232</v>
      </c>
      <c r="G11" s="27">
        <v>1115</v>
      </c>
      <c r="H11" s="27">
        <v>2713</v>
      </c>
      <c r="I11" s="27">
        <v>884</v>
      </c>
      <c r="J11" s="27">
        <v>1989</v>
      </c>
      <c r="K11" s="27">
        <v>491</v>
      </c>
      <c r="L11" s="27">
        <v>1298</v>
      </c>
      <c r="M11" s="27">
        <v>569</v>
      </c>
      <c r="N11" s="27">
        <v>1654</v>
      </c>
      <c r="O11" s="40">
        <v>706</v>
      </c>
      <c r="P11" s="40">
        <v>1714</v>
      </c>
      <c r="Q11" s="40">
        <v>711</v>
      </c>
      <c r="R11" s="40">
        <v>2002</v>
      </c>
      <c r="S11" s="40">
        <v>536</v>
      </c>
      <c r="T11" s="40">
        <v>1552.5772148223</v>
      </c>
      <c r="U11" s="40">
        <v>499.72543504849995</v>
      </c>
      <c r="V11" s="29">
        <v>0.60586617781851504</v>
      </c>
      <c r="W11" s="29">
        <v>0.46175243393602217</v>
      </c>
      <c r="X11" s="29">
        <v>0.27397260273972601</v>
      </c>
      <c r="Y11" s="29">
        <v>6.0894386298762981E-2</v>
      </c>
      <c r="Z11" s="29">
        <v>0.21550179211469533</v>
      </c>
      <c r="AA11" s="29">
        <v>-0.2071748878923767</v>
      </c>
      <c r="AB11" s="29">
        <v>-0.26686325101363806</v>
      </c>
      <c r="AC11" s="29">
        <v>-0.44457013574660631</v>
      </c>
      <c r="AD11" s="29">
        <v>-0.34741075917546504</v>
      </c>
      <c r="AE11" s="29">
        <v>0.15885947046843185</v>
      </c>
      <c r="AF11" s="29">
        <v>0.27426810477657937</v>
      </c>
      <c r="AG11" s="29">
        <v>0.24071415127170459</v>
      </c>
      <c r="AH11" s="29">
        <v>2.4669380843409972E-2</v>
      </c>
      <c r="AI11" s="29">
        <v>-1.0105011714433676E-2</v>
      </c>
      <c r="AJ11" s="29">
        <v>0.18139253256111965</v>
      </c>
      <c r="AK11" s="29">
        <f t="shared" si="0"/>
        <v>1.1836529041101267</v>
      </c>
      <c r="AL11" s="29">
        <v>-0.22448690568316687</v>
      </c>
      <c r="AM11" s="29">
        <v>-6.7676427148321006E-2</v>
      </c>
      <c r="AN11" s="39"/>
      <c r="AO11" s="32"/>
      <c r="AP11" s="32"/>
      <c r="AQ11" s="32"/>
      <c r="AR11" s="32"/>
    </row>
    <row r="12" spans="1:48" ht="15" customHeight="1" x14ac:dyDescent="0.2">
      <c r="A12" s="26" t="s">
        <v>183</v>
      </c>
      <c r="B12" s="27">
        <v>2933</v>
      </c>
      <c r="C12" s="27">
        <v>643</v>
      </c>
      <c r="D12" s="27">
        <v>4071</v>
      </c>
      <c r="E12" s="27">
        <v>556</v>
      </c>
      <c r="F12" s="27">
        <v>2826</v>
      </c>
      <c r="G12" s="27">
        <v>383</v>
      </c>
      <c r="H12" s="27">
        <v>520</v>
      </c>
      <c r="I12" s="27">
        <v>849</v>
      </c>
      <c r="J12" s="27">
        <v>2606</v>
      </c>
      <c r="K12" s="27">
        <v>2371</v>
      </c>
      <c r="L12" s="27">
        <v>4725</v>
      </c>
      <c r="M12" s="27">
        <v>2179</v>
      </c>
      <c r="N12" s="27">
        <v>2405</v>
      </c>
      <c r="O12" s="40">
        <v>619</v>
      </c>
      <c r="P12" s="40">
        <v>1591</v>
      </c>
      <c r="Q12" s="40">
        <v>512</v>
      </c>
      <c r="R12" s="40">
        <v>-173</v>
      </c>
      <c r="S12" s="40">
        <v>2600</v>
      </c>
      <c r="T12" s="40">
        <v>4931.5564543996998</v>
      </c>
      <c r="U12" s="40">
        <v>2206.2682017928</v>
      </c>
      <c r="V12" s="29">
        <v>0.38799863620866004</v>
      </c>
      <c r="W12" s="29">
        <v>-0.13530326594090203</v>
      </c>
      <c r="X12" s="29">
        <v>-0.30582166543846723</v>
      </c>
      <c r="Y12" s="29">
        <v>-0.3111510791366906</v>
      </c>
      <c r="Z12" s="29">
        <v>-0.81599433828733192</v>
      </c>
      <c r="AA12" s="29">
        <v>1.2167101827676241</v>
      </c>
      <c r="AB12" s="29">
        <v>4.0115384615384615</v>
      </c>
      <c r="AC12" s="29">
        <v>1.7926972909305063</v>
      </c>
      <c r="AD12" s="29">
        <v>0.81312356101304673</v>
      </c>
      <c r="AE12" s="29">
        <v>-8.0978490088570276E-2</v>
      </c>
      <c r="AF12" s="29">
        <v>-0.491005291005291</v>
      </c>
      <c r="AG12" s="29">
        <v>-0.71603434651330888</v>
      </c>
      <c r="AH12" s="29">
        <v>-0.33832594790777548</v>
      </c>
      <c r="AI12" s="29">
        <v>-0.17294894310904829</v>
      </c>
      <c r="AJ12" s="29">
        <v>-1.108637411517899</v>
      </c>
      <c r="AK12" s="29">
        <f t="shared" si="0"/>
        <v>8.6319461999994136</v>
      </c>
      <c r="AL12" s="29">
        <v>-29.506106672830633</v>
      </c>
      <c r="AM12" s="29">
        <v>-0.15143530700276919</v>
      </c>
      <c r="AN12" s="39"/>
      <c r="AO12" s="32"/>
      <c r="AP12" s="32"/>
      <c r="AQ12" s="32"/>
      <c r="AR12" s="32"/>
    </row>
    <row r="13" spans="1:48" ht="15" customHeight="1" x14ac:dyDescent="0.2">
      <c r="A13" s="41" t="s">
        <v>380</v>
      </c>
      <c r="B13" s="308">
        <v>3468</v>
      </c>
      <c r="C13" s="308">
        <v>2764</v>
      </c>
      <c r="D13" s="308">
        <v>3892</v>
      </c>
      <c r="E13" s="308">
        <v>2177</v>
      </c>
      <c r="F13" s="308">
        <v>4388</v>
      </c>
      <c r="G13" s="308">
        <v>1850</v>
      </c>
      <c r="H13" s="308">
        <v>2932</v>
      </c>
      <c r="I13" s="308">
        <v>987</v>
      </c>
      <c r="J13" s="308">
        <v>1646</v>
      </c>
      <c r="K13" s="308">
        <v>1901</v>
      </c>
      <c r="L13" s="308">
        <v>2805</v>
      </c>
      <c r="M13" s="27">
        <v>1773</v>
      </c>
      <c r="N13" s="27">
        <v>2222</v>
      </c>
      <c r="O13" s="308">
        <v>1560</v>
      </c>
      <c r="P13" s="308">
        <v>3088</v>
      </c>
      <c r="Q13" s="308">
        <v>1222</v>
      </c>
      <c r="R13" s="308">
        <v>2768</v>
      </c>
      <c r="S13" s="308">
        <v>2003</v>
      </c>
      <c r="T13" s="308">
        <v>3824</v>
      </c>
      <c r="U13" s="308">
        <v>3440</v>
      </c>
      <c r="V13" s="29"/>
      <c r="W13" s="29"/>
      <c r="X13" s="29"/>
      <c r="Y13" s="29"/>
      <c r="Z13" s="29"/>
      <c r="AA13" s="29"/>
      <c r="AB13" s="29"/>
      <c r="AC13" s="29"/>
      <c r="AD13" s="29"/>
      <c r="AE13" s="29"/>
      <c r="AF13" s="29">
        <v>-0.207843137254902</v>
      </c>
      <c r="AG13" s="29">
        <v>-0.12013536379018608</v>
      </c>
      <c r="AH13" s="29">
        <v>0.38973897389738976</v>
      </c>
      <c r="AI13" s="29">
        <v>-0.21666666666666667</v>
      </c>
      <c r="AJ13" s="29">
        <v>-0.10362694300518138</v>
      </c>
      <c r="AK13" s="29">
        <f t="shared" si="0"/>
        <v>2.1292962356792144</v>
      </c>
      <c r="AL13" s="29">
        <v>0.38150289017341033</v>
      </c>
      <c r="AM13" s="29">
        <v>0.71742386420369453</v>
      </c>
      <c r="AN13" s="35"/>
      <c r="AO13" s="32"/>
      <c r="AP13" s="32"/>
      <c r="AQ13" s="32"/>
      <c r="AR13" s="32"/>
    </row>
    <row r="14" spans="1:48" ht="15" customHeight="1" x14ac:dyDescent="0.2">
      <c r="A14" s="36"/>
      <c r="B14" s="13"/>
      <c r="C14" s="13"/>
      <c r="D14" s="13"/>
      <c r="E14" s="13"/>
      <c r="F14" s="13"/>
      <c r="G14" s="13"/>
      <c r="H14" s="13"/>
      <c r="I14" s="13"/>
      <c r="J14" s="13"/>
      <c r="K14" s="13"/>
      <c r="L14" s="13"/>
      <c r="M14" s="13"/>
      <c r="N14" s="13"/>
      <c r="O14" s="13"/>
      <c r="P14" s="13"/>
      <c r="Q14" s="13"/>
      <c r="R14" s="13"/>
      <c r="S14" s="13"/>
      <c r="T14" s="13"/>
      <c r="U14" s="13"/>
      <c r="V14" s="37"/>
      <c r="W14" s="37"/>
      <c r="X14" s="37"/>
      <c r="Y14" s="37"/>
      <c r="Z14" s="37"/>
      <c r="AA14" s="37"/>
      <c r="AB14" s="37"/>
      <c r="AC14" s="37"/>
      <c r="AD14" s="37"/>
      <c r="AE14" s="37"/>
      <c r="AF14" s="37"/>
      <c r="AG14" s="37"/>
      <c r="AH14" s="37"/>
      <c r="AI14" s="37"/>
      <c r="AJ14" s="37"/>
      <c r="AK14" s="37"/>
      <c r="AL14" s="37"/>
      <c r="AM14" s="37"/>
      <c r="AN14" s="39"/>
      <c r="AO14" s="42"/>
      <c r="AP14" s="32"/>
      <c r="AQ14" s="32"/>
      <c r="AR14" s="42"/>
      <c r="AS14" s="43"/>
      <c r="AV14" s="43"/>
    </row>
    <row r="15" spans="1:48" ht="15" customHeight="1" x14ac:dyDescent="0.2">
      <c r="A15" s="26" t="s">
        <v>184</v>
      </c>
      <c r="B15" s="27">
        <v>5317</v>
      </c>
      <c r="C15" s="27">
        <v>3282</v>
      </c>
      <c r="D15" s="27">
        <v>2797</v>
      </c>
      <c r="E15" s="27">
        <v>2342</v>
      </c>
      <c r="F15" s="27">
        <v>5155</v>
      </c>
      <c r="G15" s="27">
        <v>4125</v>
      </c>
      <c r="H15" s="27">
        <v>5023</v>
      </c>
      <c r="I15" s="27">
        <v>6874</v>
      </c>
      <c r="J15" s="27">
        <v>6205</v>
      </c>
      <c r="K15" s="27">
        <v>6086</v>
      </c>
      <c r="L15" s="27">
        <v>6330</v>
      </c>
      <c r="M15" s="27">
        <v>6378</v>
      </c>
      <c r="N15" s="27">
        <v>8266</v>
      </c>
      <c r="O15" s="308">
        <v>8137</v>
      </c>
      <c r="P15" s="308">
        <v>7855</v>
      </c>
      <c r="Q15" s="308">
        <v>8228</v>
      </c>
      <c r="R15" s="308">
        <v>9053</v>
      </c>
      <c r="S15" s="308">
        <v>9268</v>
      </c>
      <c r="T15" s="308">
        <v>8439</v>
      </c>
      <c r="U15" s="308">
        <v>8845</v>
      </c>
      <c r="V15" s="29">
        <v>-0.47395147639646418</v>
      </c>
      <c r="W15" s="29">
        <v>-0.2864107251675807</v>
      </c>
      <c r="X15" s="29">
        <v>0.84304612084376118</v>
      </c>
      <c r="Y15" s="29">
        <v>0.7613151152860802</v>
      </c>
      <c r="Z15" s="29">
        <v>-2.5606207565470385E-2</v>
      </c>
      <c r="AA15" s="29">
        <v>0.66642424242424236</v>
      </c>
      <c r="AB15" s="29">
        <v>0.23531753931913202</v>
      </c>
      <c r="AC15" s="29">
        <v>-0.11463485597905154</v>
      </c>
      <c r="AD15" s="29">
        <v>2.0145044319097583E-2</v>
      </c>
      <c r="AE15" s="29">
        <v>4.7978968123562282E-2</v>
      </c>
      <c r="AF15" s="29">
        <v>0.30584518167456554</v>
      </c>
      <c r="AG15" s="29">
        <v>0.27579178425838813</v>
      </c>
      <c r="AH15" s="29">
        <v>-5.0084684248729694E-2</v>
      </c>
      <c r="AI15" s="29">
        <v>1.1183482856089499E-2</v>
      </c>
      <c r="AJ15" s="29">
        <v>0.15251432208784221</v>
      </c>
      <c r="AK15" s="29">
        <f t="shared" si="0"/>
        <v>2.5644141954302313E-2</v>
      </c>
      <c r="AL15" s="29">
        <v>-6.7822821164254976E-2</v>
      </c>
      <c r="AM15" s="29">
        <v>-4.5640914976262437E-2</v>
      </c>
      <c r="AN15" s="39"/>
      <c r="AO15" s="32"/>
    </row>
    <row r="16" spans="1:48" ht="15" customHeight="1" x14ac:dyDescent="0.2">
      <c r="A16" s="26" t="s">
        <v>185</v>
      </c>
      <c r="B16" s="27">
        <v>3632</v>
      </c>
      <c r="C16" s="27">
        <v>2284</v>
      </c>
      <c r="D16" s="27">
        <v>5405</v>
      </c>
      <c r="E16" s="27">
        <v>3172</v>
      </c>
      <c r="F16" s="27">
        <v>1627</v>
      </c>
      <c r="G16" s="27">
        <v>995</v>
      </c>
      <c r="H16" s="27">
        <v>1037</v>
      </c>
      <c r="I16" s="27">
        <v>1809</v>
      </c>
      <c r="J16" s="27">
        <v>1621</v>
      </c>
      <c r="K16" s="27">
        <v>2625</v>
      </c>
      <c r="L16" s="27">
        <v>2793</v>
      </c>
      <c r="M16" s="27">
        <v>2814</v>
      </c>
      <c r="N16" s="27">
        <v>4054</v>
      </c>
      <c r="O16" s="308">
        <v>3414</v>
      </c>
      <c r="P16" s="308">
        <v>3325</v>
      </c>
      <c r="Q16" s="308">
        <v>2630</v>
      </c>
      <c r="R16" s="308">
        <v>852</v>
      </c>
      <c r="S16" s="308">
        <v>3438</v>
      </c>
      <c r="T16" s="308">
        <v>1388</v>
      </c>
      <c r="U16" s="308">
        <v>3488</v>
      </c>
      <c r="V16" s="29">
        <v>0.48816079295154191</v>
      </c>
      <c r="W16" s="29">
        <v>0.3887915936952715</v>
      </c>
      <c r="X16" s="29">
        <v>-0.6989824236817761</v>
      </c>
      <c r="Y16" s="29">
        <v>-0.68631778058007564</v>
      </c>
      <c r="Z16" s="29">
        <v>-0.36263060848186845</v>
      </c>
      <c r="AA16" s="29">
        <v>0.81809045226130661</v>
      </c>
      <c r="AB16" s="29">
        <v>0.56316297010607519</v>
      </c>
      <c r="AC16" s="29">
        <v>0.45107794361525699</v>
      </c>
      <c r="AD16" s="29">
        <v>0.7230104873534855</v>
      </c>
      <c r="AE16" s="29">
        <v>7.2000000000000064E-2</v>
      </c>
      <c r="AF16" s="29">
        <v>0.45148585750089509</v>
      </c>
      <c r="AG16" s="29">
        <v>0.21321961620469088</v>
      </c>
      <c r="AH16" s="29">
        <v>-0.18574247656635423</v>
      </c>
      <c r="AI16" s="29">
        <v>-0.22964264792032807</v>
      </c>
      <c r="AJ16" s="29">
        <v>-0.74375939849624062</v>
      </c>
      <c r="AK16" s="29">
        <f t="shared" si="0"/>
        <v>-0.47224334600760454</v>
      </c>
      <c r="AL16" s="29">
        <v>0.62910798122065725</v>
      </c>
      <c r="AM16" s="29">
        <v>1.4543339150669077E-2</v>
      </c>
      <c r="AN16" s="35"/>
      <c r="AO16" s="42"/>
      <c r="AP16" s="32"/>
      <c r="AQ16" s="32"/>
      <c r="AR16" s="32"/>
    </row>
    <row r="17" spans="1:47" ht="15" customHeight="1" x14ac:dyDescent="0.2">
      <c r="A17" s="26" t="s">
        <v>186</v>
      </c>
      <c r="B17" s="27">
        <v>1685</v>
      </c>
      <c r="C17" s="27">
        <v>998</v>
      </c>
      <c r="D17" s="27">
        <v>-2608</v>
      </c>
      <c r="E17" s="27">
        <v>-830</v>
      </c>
      <c r="F17" s="27">
        <v>3528</v>
      </c>
      <c r="G17" s="27">
        <v>3130</v>
      </c>
      <c r="H17" s="27">
        <v>3986</v>
      </c>
      <c r="I17" s="27">
        <v>5065</v>
      </c>
      <c r="J17" s="27">
        <v>4584</v>
      </c>
      <c r="K17" s="27">
        <v>3461</v>
      </c>
      <c r="L17" s="27">
        <v>3537</v>
      </c>
      <c r="M17" s="27">
        <v>3564</v>
      </c>
      <c r="N17" s="27">
        <v>4212</v>
      </c>
      <c r="O17" s="308">
        <v>4723</v>
      </c>
      <c r="P17" s="308">
        <v>4530</v>
      </c>
      <c r="Q17" s="308">
        <v>5598</v>
      </c>
      <c r="R17" s="308">
        <v>8201</v>
      </c>
      <c r="S17" s="308">
        <v>5830</v>
      </c>
      <c r="T17" s="308">
        <v>7051</v>
      </c>
      <c r="U17" s="308">
        <v>5357</v>
      </c>
      <c r="V17" s="29">
        <v>-2.5477744807121665</v>
      </c>
      <c r="W17" s="29">
        <v>-1.8316633266533067</v>
      </c>
      <c r="X17" s="29">
        <v>-2.352760736196319</v>
      </c>
      <c r="Y17" s="29">
        <v>-4.7710843373493974</v>
      </c>
      <c r="Z17" s="29">
        <v>0.1298185941043084</v>
      </c>
      <c r="AA17" s="29">
        <v>0.6182108626198084</v>
      </c>
      <c r="AB17" s="29">
        <v>0.15002508780732571</v>
      </c>
      <c r="AC17" s="29">
        <v>-0.31668311944718652</v>
      </c>
      <c r="AD17" s="29">
        <v>-0.2284031413612565</v>
      </c>
      <c r="AE17" s="29">
        <v>2.9760184917653865E-2</v>
      </c>
      <c r="AF17" s="29">
        <v>0.19083969465648853</v>
      </c>
      <c r="AG17" s="29">
        <v>0.32519640852974185</v>
      </c>
      <c r="AH17" s="29">
        <v>8.0484330484330568E-2</v>
      </c>
      <c r="AI17" s="29">
        <v>0.18526360364175321</v>
      </c>
      <c r="AJ17" s="29">
        <v>0.81037527593818992</v>
      </c>
      <c r="AK17" s="29">
        <f t="shared" si="0"/>
        <v>0.25955698463737042</v>
      </c>
      <c r="AL17" s="29">
        <v>-0.1402268016095598</v>
      </c>
      <c r="AM17" s="29">
        <v>-8.1132075471698095E-2</v>
      </c>
      <c r="AN17" s="35"/>
      <c r="AO17" s="42"/>
      <c r="AP17" s="32"/>
      <c r="AQ17" s="32"/>
      <c r="AR17" s="32"/>
      <c r="AS17" s="43"/>
      <c r="AU17" s="43"/>
    </row>
    <row r="18" spans="1:47" ht="15" customHeight="1" x14ac:dyDescent="0.2">
      <c r="A18" s="26" t="s">
        <v>411</v>
      </c>
      <c r="B18" s="33">
        <v>0.40138161029061459</v>
      </c>
      <c r="C18" s="33">
        <v>0.1649859480905935</v>
      </c>
      <c r="D18" s="33">
        <v>-0.36177000971008461</v>
      </c>
      <c r="E18" s="34">
        <v>-0.10775022718421394</v>
      </c>
      <c r="F18" s="33">
        <v>0.48736013261500205</v>
      </c>
      <c r="G18" s="34">
        <v>0.52253756260434059</v>
      </c>
      <c r="H18" s="34">
        <v>0.80819140308191406</v>
      </c>
      <c r="I18" s="34">
        <v>1.0692421363732321</v>
      </c>
      <c r="J18" s="34">
        <v>1.0919485469271082</v>
      </c>
      <c r="K18" s="34">
        <v>0.78748577929465302</v>
      </c>
      <c r="L18" s="34">
        <v>0.62260165463826789</v>
      </c>
      <c r="M18" s="34">
        <v>0.60478533853724759</v>
      </c>
      <c r="N18" s="34">
        <v>0.98053415891306961</v>
      </c>
      <c r="O18" s="34">
        <v>1.3960981377475614</v>
      </c>
      <c r="P18" s="34">
        <v>1.161836368299564</v>
      </c>
      <c r="Q18" s="34">
        <v>1.4547817047817049</v>
      </c>
      <c r="R18" s="34">
        <v>2.0528160200250314</v>
      </c>
      <c r="S18" s="34">
        <v>1.0937316069234524</v>
      </c>
      <c r="T18" s="34">
        <v>1.1316000641951534</v>
      </c>
      <c r="U18" s="34">
        <v>0.77965361664968713</v>
      </c>
      <c r="V18" s="29">
        <v>-1.9013118698889824</v>
      </c>
      <c r="W18" s="29">
        <v>-1.6530872988349801</v>
      </c>
      <c r="X18" s="29">
        <v>-2.3471545997015149</v>
      </c>
      <c r="Y18" s="29">
        <v>-5.8495263189653439</v>
      </c>
      <c r="Z18" s="29">
        <v>0.65830429901076415</v>
      </c>
      <c r="AA18" s="29">
        <v>1.0462493280752905</v>
      </c>
      <c r="AB18" s="29">
        <v>0.35110141330770128</v>
      </c>
      <c r="AC18" s="29">
        <v>-0.26351033829836701</v>
      </c>
      <c r="AD18" s="29">
        <v>-0.42982509900273813</v>
      </c>
      <c r="AE18" s="29">
        <v>-0.23200474924264569</v>
      </c>
      <c r="AF18" s="29">
        <v>0.57489809352138788</v>
      </c>
      <c r="AG18" s="29">
        <v>1.3084192833182882</v>
      </c>
      <c r="AH18" s="29">
        <v>0.19039439278971737</v>
      </c>
      <c r="AI18" s="29">
        <v>4.2033984178807327E-2</v>
      </c>
      <c r="AJ18" s="29">
        <v>0.76687189008335466</v>
      </c>
      <c r="AK18" s="29">
        <f t="shared" si="0"/>
        <v>-0.22215129563720082</v>
      </c>
      <c r="AL18" s="29">
        <v>-0.44875719345693976</v>
      </c>
      <c r="AM18" s="29">
        <v>-0.28716184874389095</v>
      </c>
      <c r="AN18" s="35"/>
      <c r="AO18" s="42"/>
      <c r="AQ18" s="43"/>
    </row>
    <row r="19" spans="1:47" ht="15" customHeight="1" x14ac:dyDescent="0.2">
      <c r="A19" s="36"/>
      <c r="B19" s="13"/>
      <c r="C19" s="13"/>
      <c r="D19" s="13"/>
      <c r="E19" s="13"/>
      <c r="F19" s="13"/>
      <c r="G19" s="13"/>
      <c r="H19" s="13"/>
      <c r="I19" s="13"/>
      <c r="J19" s="13"/>
      <c r="K19" s="13"/>
      <c r="L19" s="13"/>
      <c r="M19" s="13"/>
      <c r="N19" s="13"/>
      <c r="O19" s="13"/>
      <c r="P19" s="13"/>
      <c r="Q19" s="13"/>
      <c r="R19" s="13"/>
      <c r="S19" s="13"/>
      <c r="T19" s="13"/>
      <c r="U19" s="13"/>
      <c r="V19" s="44"/>
      <c r="W19" s="44"/>
      <c r="X19" s="44"/>
      <c r="Y19" s="44"/>
      <c r="Z19" s="44"/>
      <c r="AA19" s="44"/>
      <c r="AB19" s="44"/>
      <c r="AC19" s="44"/>
      <c r="AD19" s="44"/>
      <c r="AE19" s="44"/>
      <c r="AF19" s="44"/>
      <c r="AG19" s="44"/>
      <c r="AH19" s="44"/>
      <c r="AI19" s="44"/>
      <c r="AJ19" s="44"/>
      <c r="AK19" s="44"/>
      <c r="AL19" s="44"/>
      <c r="AM19" s="44"/>
      <c r="AN19" s="31"/>
      <c r="AO19" s="32"/>
    </row>
    <row r="20" spans="1:47" ht="15" customHeight="1" x14ac:dyDescent="0.2">
      <c r="A20" s="26" t="s">
        <v>187</v>
      </c>
      <c r="B20" s="34" t="s">
        <v>207</v>
      </c>
      <c r="C20" s="34" t="s">
        <v>207</v>
      </c>
      <c r="D20" s="34" t="s">
        <v>207</v>
      </c>
      <c r="E20" s="34" t="s">
        <v>207</v>
      </c>
      <c r="F20" s="34" t="s">
        <v>207</v>
      </c>
      <c r="G20" s="34" t="s">
        <v>207</v>
      </c>
      <c r="H20" s="34">
        <v>20.272498176839722</v>
      </c>
      <c r="I20" s="34">
        <v>16.899999999999999</v>
      </c>
      <c r="J20" s="34">
        <v>15.159019174739077</v>
      </c>
      <c r="K20" s="34">
        <v>20.3</v>
      </c>
      <c r="L20" s="34">
        <v>29.348081105949486</v>
      </c>
      <c r="M20" s="34">
        <v>30.625131525288189</v>
      </c>
      <c r="N20" s="34">
        <v>34.919781605913066</v>
      </c>
      <c r="O20" s="45">
        <v>26.730807994142662</v>
      </c>
      <c r="P20" s="46">
        <v>29.958439195333902</v>
      </c>
      <c r="Q20" s="46">
        <v>22.483050335188722</v>
      </c>
      <c r="R20" s="46">
        <v>21.313084306279919</v>
      </c>
      <c r="S20" s="46">
        <v>19.122941762706493</v>
      </c>
      <c r="T20" s="390">
        <v>32.521351197894255</v>
      </c>
      <c r="U20" s="390">
        <v>22.594117240500033</v>
      </c>
      <c r="V20" s="47"/>
      <c r="W20" s="47"/>
      <c r="X20" s="47"/>
      <c r="Y20" s="47"/>
      <c r="Z20" s="47"/>
      <c r="AA20" s="47"/>
      <c r="AB20" s="47"/>
      <c r="AC20" s="47"/>
      <c r="AD20" s="47"/>
      <c r="AE20" s="47"/>
      <c r="AF20" s="47"/>
      <c r="AG20" s="47"/>
      <c r="AH20" s="47"/>
      <c r="AI20" s="47"/>
      <c r="AJ20" s="47"/>
      <c r="AK20" s="47"/>
      <c r="AL20" s="47"/>
      <c r="AM20" s="47"/>
      <c r="AN20" s="31"/>
      <c r="AO20" s="32"/>
    </row>
    <row r="21" spans="1:47" ht="15" customHeight="1" x14ac:dyDescent="0.2">
      <c r="A21" s="26" t="s">
        <v>345</v>
      </c>
      <c r="B21" s="34">
        <v>6.8</v>
      </c>
      <c r="C21" s="34" t="s">
        <v>207</v>
      </c>
      <c r="D21" s="34">
        <v>6.4</v>
      </c>
      <c r="E21" s="34" t="s">
        <v>207</v>
      </c>
      <c r="F21" s="34">
        <v>6</v>
      </c>
      <c r="G21" s="34" t="s">
        <v>207</v>
      </c>
      <c r="H21" s="34">
        <v>12.7</v>
      </c>
      <c r="I21" s="34" t="s">
        <v>207</v>
      </c>
      <c r="J21" s="34">
        <v>18.89</v>
      </c>
      <c r="K21" s="34">
        <v>7.1</v>
      </c>
      <c r="L21" s="34">
        <v>20.74</v>
      </c>
      <c r="M21" s="34">
        <v>13.432605176024115</v>
      </c>
      <c r="N21" s="34">
        <v>18.100000000000001</v>
      </c>
      <c r="O21" s="46">
        <v>4.2</v>
      </c>
      <c r="P21" s="46">
        <v>7.8</v>
      </c>
      <c r="Q21" s="46">
        <v>7.4</v>
      </c>
      <c r="R21" s="46">
        <v>18.8</v>
      </c>
      <c r="S21" s="46" t="s">
        <v>207</v>
      </c>
      <c r="T21" s="34">
        <v>21.3</v>
      </c>
      <c r="U21" s="46" t="s">
        <v>207</v>
      </c>
      <c r="W21" s="49"/>
      <c r="X21" s="49"/>
      <c r="Y21" s="49"/>
      <c r="Z21" s="49"/>
      <c r="AA21" s="49"/>
      <c r="AB21" s="49"/>
      <c r="AC21" s="49"/>
      <c r="AD21" s="49"/>
      <c r="AE21" s="49"/>
      <c r="AF21" s="49"/>
      <c r="AG21" s="49"/>
      <c r="AN21" s="30"/>
    </row>
    <row r="22" spans="1:47" ht="15" customHeight="1" x14ac:dyDescent="0.2">
      <c r="A22" s="26" t="s">
        <v>404</v>
      </c>
      <c r="B22" s="308">
        <v>1363</v>
      </c>
      <c r="C22" s="34" t="s">
        <v>207</v>
      </c>
      <c r="D22" s="308">
        <v>1220</v>
      </c>
      <c r="E22" s="34" t="s">
        <v>207</v>
      </c>
      <c r="F22" s="308">
        <v>1181</v>
      </c>
      <c r="G22" s="34" t="s">
        <v>207</v>
      </c>
      <c r="H22" s="308">
        <v>2008</v>
      </c>
      <c r="I22" s="34" t="s">
        <v>207</v>
      </c>
      <c r="J22" s="308">
        <v>2200</v>
      </c>
      <c r="K22" s="34" t="s">
        <v>207</v>
      </c>
      <c r="L22" s="308">
        <v>4798</v>
      </c>
      <c r="M22" s="308">
        <v>800</v>
      </c>
      <c r="N22" s="308">
        <v>2148</v>
      </c>
      <c r="O22" s="308" t="s">
        <v>207</v>
      </c>
      <c r="P22" s="308">
        <v>2339</v>
      </c>
      <c r="Q22" s="308">
        <v>600</v>
      </c>
      <c r="R22" s="308">
        <v>2162</v>
      </c>
      <c r="S22" s="308">
        <v>1813</v>
      </c>
      <c r="T22" s="308">
        <v>3741</v>
      </c>
      <c r="U22" s="308">
        <v>2100</v>
      </c>
      <c r="W22" s="49"/>
      <c r="X22" s="49"/>
      <c r="Y22" s="49"/>
      <c r="Z22" s="49"/>
      <c r="AA22" s="49"/>
      <c r="AB22" s="49"/>
      <c r="AC22" s="49"/>
      <c r="AD22" s="49"/>
      <c r="AE22" s="49"/>
      <c r="AF22" s="49"/>
      <c r="AG22" s="49"/>
      <c r="AN22" s="30"/>
    </row>
    <row r="23" spans="1:47" ht="15" customHeight="1" x14ac:dyDescent="0.2">
      <c r="A23" s="26" t="s">
        <v>188</v>
      </c>
      <c r="B23" s="34">
        <v>14.9</v>
      </c>
      <c r="C23" s="34">
        <v>13.3</v>
      </c>
      <c r="D23" s="34">
        <v>18.8</v>
      </c>
      <c r="E23" s="34">
        <v>10.1</v>
      </c>
      <c r="F23" s="34">
        <v>20.8</v>
      </c>
      <c r="G23" s="34">
        <v>9.5</v>
      </c>
      <c r="H23" s="34">
        <v>13.7</v>
      </c>
      <c r="I23" s="34">
        <v>3.5</v>
      </c>
      <c r="J23" s="34">
        <v>4.9000000000000004</v>
      </c>
      <c r="K23" s="34">
        <v>9.1999999999999993</v>
      </c>
      <c r="L23" s="34">
        <v>12.7</v>
      </c>
      <c r="M23" s="34">
        <v>9.5</v>
      </c>
      <c r="N23" s="34">
        <v>10.989242258090242</v>
      </c>
      <c r="O23" s="45">
        <v>8.3378238576555503</v>
      </c>
      <c r="P23" s="45">
        <v>16.147718616757643</v>
      </c>
      <c r="Q23" s="45">
        <v>5.8011137076677004</v>
      </c>
      <c r="R23" s="45">
        <v>13.453781136845897</v>
      </c>
      <c r="S23" s="45">
        <v>10.584820762901304</v>
      </c>
      <c r="T23" s="45">
        <v>19.495028091671955</v>
      </c>
      <c r="U23" s="45">
        <v>18.2</v>
      </c>
      <c r="W23" s="49"/>
      <c r="X23" s="49"/>
      <c r="Y23" s="49"/>
      <c r="Z23" s="49"/>
      <c r="AA23" s="49"/>
      <c r="AB23" s="49"/>
      <c r="AC23" s="49"/>
      <c r="AD23" s="49"/>
      <c r="AE23" s="49"/>
      <c r="AF23" s="49"/>
      <c r="AG23" s="49"/>
      <c r="AN23" s="30"/>
    </row>
    <row r="24" spans="1:47" ht="15" customHeight="1" x14ac:dyDescent="0.2">
      <c r="A24" s="26" t="s">
        <v>189</v>
      </c>
      <c r="B24" s="50">
        <v>78.433936236886339</v>
      </c>
      <c r="C24" s="50">
        <v>82.003873609439722</v>
      </c>
      <c r="D24" s="50">
        <v>99.026105945247352</v>
      </c>
      <c r="E24" s="50">
        <v>93.094699269929407</v>
      </c>
      <c r="F24" s="50">
        <v>64.111695671078053</v>
      </c>
      <c r="G24" s="50">
        <v>69.257547337903304</v>
      </c>
      <c r="H24" s="50">
        <v>81.088018057545156</v>
      </c>
      <c r="I24" s="50">
        <v>66.368007682965825</v>
      </c>
      <c r="J24" s="50">
        <v>60.786562189781336</v>
      </c>
      <c r="K24" s="51">
        <v>61.36668324091616</v>
      </c>
      <c r="L24" s="51">
        <v>30.130403222396069</v>
      </c>
      <c r="M24" s="51">
        <v>30.490614268528141</v>
      </c>
      <c r="N24" s="51">
        <v>14.312521167419421</v>
      </c>
      <c r="O24" s="51">
        <v>21.096159370935968</v>
      </c>
      <c r="P24" s="51">
        <v>24.336191069892632</v>
      </c>
      <c r="Q24" s="51">
        <v>22.54092875299639</v>
      </c>
      <c r="R24" s="51">
        <v>27.343593696163548</v>
      </c>
      <c r="S24" s="51">
        <v>25.460443494763794</v>
      </c>
      <c r="T24" s="51">
        <v>20.367090936615465</v>
      </c>
      <c r="U24" s="51">
        <v>28.569537115866744</v>
      </c>
      <c r="V24" s="49"/>
      <c r="W24" s="49"/>
      <c r="X24" s="49"/>
      <c r="Y24" s="49"/>
      <c r="Z24" s="49"/>
      <c r="AA24" s="49"/>
      <c r="AB24" s="49"/>
      <c r="AC24" s="49"/>
      <c r="AD24" s="49"/>
      <c r="AE24" s="49"/>
      <c r="AF24" s="49"/>
      <c r="AG24" s="49"/>
      <c r="AH24" s="49"/>
      <c r="AI24" s="49"/>
      <c r="AJ24" s="49"/>
      <c r="AK24" s="49"/>
      <c r="AL24" s="49"/>
      <c r="AM24" s="49"/>
      <c r="AN24" s="30"/>
    </row>
    <row r="25" spans="1:47" ht="15" customHeight="1" x14ac:dyDescent="0.2">
      <c r="A25" s="36"/>
      <c r="B25" s="13"/>
      <c r="C25" s="13"/>
      <c r="D25" s="13"/>
      <c r="E25" s="13"/>
      <c r="F25" s="13"/>
      <c r="G25" s="13"/>
      <c r="H25" s="13"/>
      <c r="I25" s="13"/>
      <c r="J25" s="13"/>
      <c r="K25" s="13"/>
      <c r="L25" s="13"/>
      <c r="M25" s="13"/>
      <c r="N25" s="13"/>
      <c r="O25" s="13"/>
      <c r="P25" s="13"/>
      <c r="Q25" s="13"/>
      <c r="R25" s="13"/>
      <c r="S25" s="13"/>
      <c r="T25" s="13"/>
      <c r="U25" s="13"/>
      <c r="V25" s="44"/>
      <c r="W25" s="44"/>
      <c r="X25" s="44"/>
      <c r="Y25" s="44"/>
      <c r="Z25" s="44"/>
      <c r="AA25" s="44"/>
      <c r="AB25" s="44"/>
      <c r="AC25" s="44"/>
      <c r="AD25" s="44"/>
      <c r="AE25" s="44"/>
      <c r="AF25" s="44"/>
      <c r="AG25" s="44"/>
      <c r="AH25" s="44"/>
      <c r="AI25" s="44"/>
      <c r="AJ25" s="44"/>
      <c r="AK25" s="44"/>
      <c r="AL25" s="44"/>
      <c r="AM25" s="44"/>
      <c r="AN25" s="32"/>
      <c r="AO25" s="32"/>
    </row>
    <row r="26" spans="1:47" ht="15" customHeight="1" x14ac:dyDescent="0.2">
      <c r="A26" s="52" t="s">
        <v>153</v>
      </c>
      <c r="B26" s="50">
        <v>31.72</v>
      </c>
      <c r="C26" s="50">
        <v>30.07</v>
      </c>
      <c r="D26" s="50">
        <v>30.37</v>
      </c>
      <c r="E26" s="50">
        <v>28.62</v>
      </c>
      <c r="F26" s="50">
        <v>29.39</v>
      </c>
      <c r="G26" s="50">
        <v>30.64</v>
      </c>
      <c r="H26" s="50">
        <v>31.09</v>
      </c>
      <c r="I26" s="50">
        <v>31.02</v>
      </c>
      <c r="J26" s="50">
        <v>31.85</v>
      </c>
      <c r="K26" s="50">
        <v>34.979999999999997</v>
      </c>
      <c r="L26" s="50">
        <v>38.42</v>
      </c>
      <c r="M26" s="50">
        <v>57.396799999999999</v>
      </c>
      <c r="N26" s="50">
        <v>60.957900000000002</v>
      </c>
      <c r="O26" s="50">
        <v>70.258300000000006</v>
      </c>
      <c r="P26" s="50">
        <v>67.034899999999993</v>
      </c>
      <c r="Q26" s="50">
        <v>57.993099999999998</v>
      </c>
      <c r="R26" s="50">
        <v>58.352899999999998</v>
      </c>
      <c r="S26" s="50">
        <v>59.3536</v>
      </c>
      <c r="T26" s="50">
        <v>62.707799999999999</v>
      </c>
      <c r="U26" s="50">
        <v>65.338399999999993</v>
      </c>
      <c r="V26" s="53"/>
      <c r="W26" s="53"/>
      <c r="X26" s="53"/>
      <c r="Y26" s="53"/>
      <c r="Z26" s="53"/>
      <c r="AA26" s="53"/>
      <c r="AB26" s="52"/>
      <c r="AC26" s="52"/>
      <c r="AD26" s="52"/>
      <c r="AE26" s="52"/>
      <c r="AF26" s="52"/>
      <c r="AG26" s="52"/>
      <c r="AH26" s="53"/>
      <c r="AI26" s="53"/>
      <c r="AJ26" s="53"/>
      <c r="AK26" s="53"/>
      <c r="AL26" s="53"/>
      <c r="AM26" s="53"/>
    </row>
    <row r="27" spans="1:47" ht="15" customHeight="1" x14ac:dyDescent="0.2">
      <c r="A27" s="54" t="s">
        <v>154</v>
      </c>
      <c r="B27" s="55">
        <v>30.24</v>
      </c>
      <c r="C27" s="55">
        <v>31.2</v>
      </c>
      <c r="D27" s="55">
        <v>30.48</v>
      </c>
      <c r="E27" s="55">
        <v>28.08</v>
      </c>
      <c r="F27" s="55">
        <v>32.200000000000003</v>
      </c>
      <c r="G27" s="55">
        <v>32.82</v>
      </c>
      <c r="H27" s="55">
        <v>30.37</v>
      </c>
      <c r="I27" s="55">
        <v>32.71</v>
      </c>
      <c r="J27" s="55">
        <v>32.729999999999997</v>
      </c>
      <c r="K27" s="55">
        <v>33.630000000000003</v>
      </c>
      <c r="L27" s="55">
        <v>56.26</v>
      </c>
      <c r="M27" s="55">
        <v>55.524000000000001</v>
      </c>
      <c r="N27" s="55">
        <v>72.8827</v>
      </c>
      <c r="O27" s="55">
        <v>64.257499999999993</v>
      </c>
      <c r="P27" s="55">
        <v>60.6569</v>
      </c>
      <c r="Q27" s="55">
        <v>59.085500000000003</v>
      </c>
      <c r="R27" s="55">
        <v>57.600200000000001</v>
      </c>
      <c r="S27" s="55">
        <v>62.756500000000003</v>
      </c>
      <c r="T27" s="55">
        <v>69.470600000000005</v>
      </c>
      <c r="U27" s="55">
        <v>63.075600000000001</v>
      </c>
      <c r="V27" s="56"/>
      <c r="W27" s="56"/>
      <c r="X27" s="56"/>
      <c r="Y27" s="56"/>
      <c r="Z27" s="56"/>
      <c r="AA27" s="56"/>
      <c r="AB27" s="56"/>
      <c r="AC27" s="56"/>
      <c r="AD27" s="56"/>
      <c r="AE27" s="56"/>
      <c r="AF27" s="56"/>
      <c r="AG27" s="56"/>
      <c r="AH27" s="56"/>
      <c r="AI27" s="56"/>
      <c r="AJ27" s="56"/>
      <c r="AK27" s="56"/>
      <c r="AL27" s="56"/>
      <c r="AM27" s="56"/>
    </row>
    <row r="28" spans="1:47" ht="15" customHeight="1" x14ac:dyDescent="0.2">
      <c r="A28" s="14" t="s">
        <v>55</v>
      </c>
      <c r="I28" s="57"/>
      <c r="J28" s="57"/>
      <c r="K28" s="57"/>
      <c r="L28" s="57"/>
      <c r="M28" s="57"/>
      <c r="N28" s="57"/>
      <c r="O28" s="58"/>
      <c r="P28" s="58"/>
      <c r="Q28" s="58"/>
      <c r="R28" s="58"/>
      <c r="S28" s="58"/>
      <c r="T28" s="58"/>
      <c r="U28" s="58"/>
    </row>
    <row r="29" spans="1:47" x14ac:dyDescent="0.2">
      <c r="E29" s="59"/>
      <c r="F29" s="59"/>
      <c r="G29" s="59"/>
      <c r="H29" s="59"/>
      <c r="I29" s="59"/>
      <c r="J29" s="59"/>
      <c r="K29" s="59"/>
      <c r="L29" s="59"/>
      <c r="M29" s="59"/>
      <c r="N29" s="59"/>
      <c r="O29" s="43"/>
      <c r="P29" s="43"/>
      <c r="Q29" s="43"/>
      <c r="R29" s="43"/>
      <c r="S29" s="43"/>
      <c r="T29" s="43"/>
      <c r="U29" s="43"/>
    </row>
    <row r="30" spans="1:47" x14ac:dyDescent="0.2">
      <c r="A30" s="15" t="s">
        <v>56</v>
      </c>
      <c r="B30" s="60"/>
      <c r="C30" s="60"/>
      <c r="O30" s="59"/>
      <c r="P30" s="59"/>
      <c r="Q30" s="59"/>
      <c r="R30" s="59"/>
      <c r="S30" s="59"/>
      <c r="T30" s="59"/>
      <c r="U30" s="59"/>
      <c r="W30" s="61"/>
    </row>
    <row r="31" spans="1:47" s="20" customFormat="1" ht="30" customHeight="1" x14ac:dyDescent="0.2">
      <c r="A31" s="16" t="s">
        <v>377</v>
      </c>
      <c r="B31" s="17"/>
      <c r="C31" s="17"/>
      <c r="D31" s="18"/>
      <c r="E31" s="18"/>
      <c r="F31" s="19"/>
      <c r="G31" s="19"/>
      <c r="H31" s="18"/>
      <c r="I31" s="18"/>
      <c r="J31" s="18"/>
      <c r="K31" s="18"/>
      <c r="L31" s="18"/>
      <c r="M31" s="18"/>
      <c r="N31" s="18"/>
      <c r="O31" s="59"/>
      <c r="P31" s="59"/>
      <c r="Q31" s="59"/>
      <c r="R31" s="59"/>
      <c r="S31" s="59"/>
      <c r="T31" s="59"/>
      <c r="U31" s="59"/>
      <c r="V31" s="18"/>
      <c r="W31" s="18"/>
      <c r="X31" s="18"/>
      <c r="Y31" s="18"/>
      <c r="Z31" s="18"/>
      <c r="AA31" s="18"/>
      <c r="AB31" s="18"/>
      <c r="AC31" s="18"/>
      <c r="AD31" s="18"/>
      <c r="AH31" s="18"/>
      <c r="AI31" s="18"/>
      <c r="AJ31" s="18"/>
      <c r="AK31" s="18"/>
      <c r="AL31" s="18"/>
      <c r="AM31" s="18"/>
    </row>
    <row r="32" spans="1:47" s="20" customFormat="1" x14ac:dyDescent="0.25">
      <c r="A32" s="16" t="s">
        <v>190</v>
      </c>
      <c r="B32" s="17"/>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H32" s="18"/>
      <c r="AI32" s="18"/>
      <c r="AJ32" s="18"/>
      <c r="AK32" s="18"/>
      <c r="AL32" s="18"/>
      <c r="AM32" s="18"/>
    </row>
    <row r="33" spans="1:39" s="20" customFormat="1" ht="39.75" x14ac:dyDescent="0.25">
      <c r="A33" s="16" t="s">
        <v>403</v>
      </c>
      <c r="B33" s="17"/>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H33" s="18"/>
      <c r="AI33" s="18"/>
      <c r="AJ33" s="18"/>
      <c r="AK33" s="18"/>
      <c r="AL33" s="18"/>
      <c r="AM33" s="18"/>
    </row>
    <row r="34" spans="1:39" s="20" customFormat="1" ht="27" x14ac:dyDescent="0.25">
      <c r="A34" s="16" t="s">
        <v>378</v>
      </c>
      <c r="B34" s="17"/>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H34" s="18"/>
      <c r="AI34" s="18"/>
      <c r="AJ34" s="18"/>
      <c r="AK34" s="18"/>
      <c r="AL34" s="18"/>
      <c r="AM34" s="18"/>
    </row>
    <row r="35" spans="1:39" x14ac:dyDescent="0.2">
      <c r="A35" s="25"/>
      <c r="B35" s="60"/>
      <c r="C35" s="60"/>
    </row>
  </sheetData>
  <customSheetViews>
    <customSheetView guid="{0879B2E0-1447-4BF4-B278-DFA3BD4BF3E7}" showPageBreaks="1" fitToPage="1" printArea="1" hiddenColumns="1" view="pageBreakPreview">
      <selection activeCell="Y1" sqref="Y1"/>
      <colBreaks count="1" manualBreakCount="1">
        <brk id="25" max="1048575" man="1"/>
      </colBreaks>
      <pageMargins left="0.7" right="0.7" top="0.75" bottom="0.75" header="0.3" footer="0.3"/>
      <pageSetup paperSize="9" scale="75" orientation="landscape" r:id="rId1"/>
    </customSheetView>
    <customSheetView guid="{B24A12A4-9623-4099-956E-0B4C7C8D3F73}" scale="85" showPageBreaks="1" fitToPage="1" printArea="1" hiddenRows="1" hiddenColumns="1">
      <selection activeCell="N6" sqref="N6"/>
      <colBreaks count="1" manualBreakCount="1">
        <brk id="23" max="1048575" man="1"/>
      </colBreaks>
      <pageMargins left="0.7" right="0.7" top="0.75" bottom="0.75" header="0.3" footer="0.3"/>
      <pageSetup paperSize="9" scale="76" orientation="landscape" r:id="rId2"/>
    </customSheetView>
    <customSheetView guid="{93BA635E-1664-4099-8295-6B100E16362A}" scale="85" showPageBreaks="1" fitToPage="1" printArea="1" hiddenRows="1" hiddenColumns="1">
      <selection activeCell="N9" sqref="N9"/>
      <colBreaks count="1" manualBreakCount="1">
        <brk id="23" max="1048575" man="1"/>
      </colBreaks>
      <pageMargins left="0.7" right="0.7" top="0.75" bottom="0.75" header="0.3" footer="0.3"/>
      <pageSetup paperSize="9" scale="81" orientation="landscape" r:id="rId3"/>
    </customSheetView>
  </customSheetViews>
  <hyperlinks>
    <hyperlink ref="AN2" location="MENU!A1" display="MENU"/>
  </hyperlinks>
  <pageMargins left="0.7" right="0.7" top="0.75" bottom="0.75" header="0.3" footer="0.3"/>
  <pageSetup paperSize="9" scale="61" orientation="landscape" r:id="rId4"/>
  <colBreaks count="1" manualBreakCount="1">
    <brk id="30" max="1048575" man="1"/>
  </colBreaks>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263169"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263169" r:id="rId10"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4981BF"/>
    <pageSetUpPr fitToPage="1"/>
  </sheetPr>
  <dimension ref="A1:AB32"/>
  <sheetViews>
    <sheetView view="pageBreakPreview" zoomScale="40" zoomScaleNormal="85" zoomScaleSheetLayoutView="40" zoomScalePageLayoutView="85" workbookViewId="0">
      <selection sqref="A1:U31"/>
    </sheetView>
  </sheetViews>
  <sheetFormatPr defaultColWidth="8.85546875" defaultRowHeight="12.75" x14ac:dyDescent="0.2"/>
  <cols>
    <col min="1" max="1" width="60.7109375" style="22" customWidth="1"/>
    <col min="2" max="22" width="7.7109375" style="64" customWidth="1"/>
    <col min="23" max="23" width="16.7109375" style="22" customWidth="1"/>
    <col min="24" max="24" width="9.85546875" style="22" bestFit="1" customWidth="1"/>
    <col min="25" max="16384" width="8.85546875" style="22"/>
  </cols>
  <sheetData>
    <row r="1" spans="1:25" s="20" customFormat="1" ht="30" customHeight="1" x14ac:dyDescent="0.25">
      <c r="A1" s="405" t="s">
        <v>625</v>
      </c>
      <c r="B1" s="67">
        <v>2009</v>
      </c>
      <c r="C1" s="67" t="s">
        <v>208</v>
      </c>
      <c r="D1" s="67">
        <v>2010</v>
      </c>
      <c r="E1" s="67" t="s">
        <v>209</v>
      </c>
      <c r="F1" s="67">
        <v>2011</v>
      </c>
      <c r="G1" s="67" t="s">
        <v>210</v>
      </c>
      <c r="H1" s="67">
        <v>2012</v>
      </c>
      <c r="I1" s="67" t="s">
        <v>211</v>
      </c>
      <c r="J1" s="67">
        <v>2013</v>
      </c>
      <c r="K1" s="67" t="s">
        <v>212</v>
      </c>
      <c r="L1" s="67">
        <v>2014</v>
      </c>
      <c r="M1" s="67" t="s">
        <v>213</v>
      </c>
      <c r="N1" s="67">
        <v>2015</v>
      </c>
      <c r="O1" s="67" t="s">
        <v>343</v>
      </c>
      <c r="P1" s="67">
        <v>2016</v>
      </c>
      <c r="Q1" s="279" t="s">
        <v>405</v>
      </c>
      <c r="R1" s="279">
        <v>2017</v>
      </c>
      <c r="S1" s="425" t="s">
        <v>431</v>
      </c>
      <c r="T1" s="425">
        <v>2018</v>
      </c>
      <c r="U1" s="425" t="s">
        <v>577</v>
      </c>
      <c r="V1" s="312"/>
      <c r="W1" s="108"/>
    </row>
    <row r="2" spans="1:25" ht="15" customHeight="1" thickBot="1" x14ac:dyDescent="0.25">
      <c r="A2" s="68" t="s">
        <v>191</v>
      </c>
      <c r="B2" s="69"/>
      <c r="C2" s="69"/>
      <c r="D2" s="70"/>
      <c r="E2" s="70"/>
      <c r="F2" s="70"/>
      <c r="G2" s="70"/>
      <c r="H2" s="70"/>
      <c r="I2" s="70"/>
      <c r="J2" s="70"/>
      <c r="K2" s="70"/>
      <c r="L2" s="70"/>
      <c r="M2" s="70"/>
      <c r="N2" s="70"/>
      <c r="O2" s="70"/>
      <c r="P2" s="70"/>
      <c r="Q2" s="70"/>
      <c r="R2" s="70"/>
      <c r="S2" s="70"/>
      <c r="T2" s="70"/>
      <c r="U2" s="70"/>
      <c r="V2" s="70"/>
    </row>
    <row r="3" spans="1:25" ht="15" customHeight="1" thickBot="1" x14ac:dyDescent="0.25">
      <c r="A3" s="71" t="s">
        <v>62</v>
      </c>
      <c r="B3" s="72">
        <v>49.145399203933508</v>
      </c>
      <c r="C3" s="72">
        <v>55.030487804878049</v>
      </c>
      <c r="D3" s="72">
        <v>56.430528375733857</v>
      </c>
      <c r="E3" s="72">
        <v>51.029311520109069</v>
      </c>
      <c r="F3" s="72">
        <v>51.260444696218663</v>
      </c>
      <c r="G3" s="72">
        <v>42.064429077416086</v>
      </c>
      <c r="H3" s="72">
        <v>39.883551673944687</v>
      </c>
      <c r="I3" s="72">
        <v>40.432641575800211</v>
      </c>
      <c r="J3" s="72">
        <v>36.507522393251584</v>
      </c>
      <c r="K3" s="72">
        <v>43.728100911002102</v>
      </c>
      <c r="L3" s="72">
        <v>47.864184008762322</v>
      </c>
      <c r="M3" s="72">
        <v>55.186468310576728</v>
      </c>
      <c r="N3" s="72">
        <v>50.290447400096326</v>
      </c>
      <c r="O3" s="72">
        <v>46.708300806661462</v>
      </c>
      <c r="P3" s="72">
        <v>47.20910521854946</v>
      </c>
      <c r="Q3" s="72">
        <v>41.054613935969869</v>
      </c>
      <c r="R3" s="72">
        <v>43.680297397769522</v>
      </c>
      <c r="S3" s="72">
        <v>52.776825505656497</v>
      </c>
      <c r="T3" s="77">
        <v>53.393316195372755</v>
      </c>
      <c r="U3" s="77">
        <v>59.106802288620472</v>
      </c>
      <c r="V3" s="77"/>
      <c r="W3" s="24" t="s">
        <v>215</v>
      </c>
    </row>
    <row r="4" spans="1:25" ht="15" customHeight="1" x14ac:dyDescent="0.2">
      <c r="A4" s="71" t="s">
        <v>192</v>
      </c>
      <c r="B4" s="72">
        <v>41.734956684617188</v>
      </c>
      <c r="C4" s="72">
        <v>49.203929539295395</v>
      </c>
      <c r="D4" s="72">
        <v>51.287671232876711</v>
      </c>
      <c r="E4" s="72">
        <v>46.134969325153378</v>
      </c>
      <c r="F4" s="72">
        <v>44.150970117547089</v>
      </c>
      <c r="G4" s="72">
        <v>35.587788834542081</v>
      </c>
      <c r="H4" s="72">
        <v>31.246967491508975</v>
      </c>
      <c r="I4" s="72">
        <v>31.568765388673935</v>
      </c>
      <c r="J4" s="72">
        <v>21.5323071571441</v>
      </c>
      <c r="K4" s="72">
        <v>35.546601261387529</v>
      </c>
      <c r="L4" s="72">
        <v>39.986519504591797</v>
      </c>
      <c r="M4" s="72">
        <v>49.439576115753006</v>
      </c>
      <c r="N4" s="72">
        <v>41.041614014810435</v>
      </c>
      <c r="O4" s="72">
        <v>39.968774395003905</v>
      </c>
      <c r="P4" s="72">
        <v>39.726359123380554</v>
      </c>
      <c r="Q4" s="72">
        <v>33.239171374764595</v>
      </c>
      <c r="R4" s="72">
        <v>34.146074786792042</v>
      </c>
      <c r="S4" s="72">
        <v>46.674665752485431</v>
      </c>
      <c r="T4" s="77">
        <v>46.409597257926308</v>
      </c>
      <c r="U4" s="77">
        <v>51.986649713922439</v>
      </c>
      <c r="V4" s="77"/>
      <c r="W4" s="30"/>
    </row>
    <row r="5" spans="1:25" ht="15" customHeight="1" x14ac:dyDescent="0.2">
      <c r="A5" s="71" t="s">
        <v>193</v>
      </c>
      <c r="B5" s="72">
        <v>51.100444860688363</v>
      </c>
      <c r="C5" s="72">
        <v>57.300135501355008</v>
      </c>
      <c r="D5" s="72">
        <v>61.776908023483365</v>
      </c>
      <c r="E5" s="72">
        <v>57.491479209270622</v>
      </c>
      <c r="F5" s="72">
        <v>58.978898173063307</v>
      </c>
      <c r="G5" s="72">
        <v>48.490470568392645</v>
      </c>
      <c r="H5" s="72">
        <v>48.512049167071005</v>
      </c>
      <c r="I5" s="72">
        <v>43.492789307069998</v>
      </c>
      <c r="J5" s="72">
        <v>43.421167058005047</v>
      </c>
      <c r="K5" s="72">
        <v>47.722494744218643</v>
      </c>
      <c r="L5" s="72">
        <v>52.194793158648579</v>
      </c>
      <c r="M5" s="72">
        <v>57.570817199918487</v>
      </c>
      <c r="N5" s="72">
        <v>55.851454815299874</v>
      </c>
      <c r="O5" s="72">
        <v>50.68956544366381</v>
      </c>
      <c r="P5" s="72">
        <v>49.860757961012233</v>
      </c>
      <c r="Q5" s="72">
        <v>47.857815442561211</v>
      </c>
      <c r="R5" s="72">
        <v>49.704788978788542</v>
      </c>
      <c r="S5" s="72">
        <v>56.359273225917036</v>
      </c>
      <c r="T5" s="77">
        <v>55.801199657240787</v>
      </c>
      <c r="U5" s="77">
        <v>59.694850603941518</v>
      </c>
      <c r="V5" s="77"/>
      <c r="W5" s="30"/>
    </row>
    <row r="6" spans="1:25" ht="15" customHeight="1" x14ac:dyDescent="0.2">
      <c r="A6" s="71" t="s">
        <v>194</v>
      </c>
      <c r="B6" s="72">
        <v>31.034886443455868</v>
      </c>
      <c r="C6" s="72">
        <v>39.718834688346881</v>
      </c>
      <c r="D6" s="72">
        <v>24.180039138943251</v>
      </c>
      <c r="E6" s="72">
        <v>24.785276073619634</v>
      </c>
      <c r="F6" s="72">
        <v>25.676249822971254</v>
      </c>
      <c r="G6" s="72">
        <v>24.978917186709396</v>
      </c>
      <c r="H6" s="72">
        <v>17.3297751900372</v>
      </c>
      <c r="I6" s="72">
        <v>9.5849454801266258</v>
      </c>
      <c r="J6" s="72">
        <v>6.6527524132533262</v>
      </c>
      <c r="K6" s="72">
        <v>25.508058864751227</v>
      </c>
      <c r="L6" s="72">
        <v>16.850619260257815</v>
      </c>
      <c r="M6" s="72">
        <v>30.425922152027717</v>
      </c>
      <c r="N6" s="72">
        <v>20.085396597517082</v>
      </c>
      <c r="O6" s="72">
        <v>33.931824095758522</v>
      </c>
      <c r="P6" s="72">
        <v>30.645356580699847</v>
      </c>
      <c r="Q6" s="72">
        <v>21.539548022598868</v>
      </c>
      <c r="R6" s="72">
        <v>23.212333260441724</v>
      </c>
      <c r="S6" s="72">
        <v>28.333904696606105</v>
      </c>
      <c r="T6" s="77">
        <v>26.212510711225363</v>
      </c>
      <c r="U6" s="77">
        <v>47.631913541004451</v>
      </c>
      <c r="V6" s="77"/>
      <c r="W6" s="30"/>
    </row>
    <row r="7" spans="1:25" ht="15" customHeight="1" x14ac:dyDescent="0.2">
      <c r="A7" s="71" t="s">
        <v>187</v>
      </c>
      <c r="B7" s="72" t="s">
        <v>207</v>
      </c>
      <c r="C7" s="72" t="s">
        <v>207</v>
      </c>
      <c r="D7" s="72" t="s">
        <v>207</v>
      </c>
      <c r="E7" s="72" t="s">
        <v>207</v>
      </c>
      <c r="F7" s="72" t="s">
        <v>207</v>
      </c>
      <c r="G7" s="72" t="s">
        <v>207</v>
      </c>
      <c r="H7" s="72">
        <v>20.272498176839722</v>
      </c>
      <c r="I7" s="72">
        <v>16.899999999999999</v>
      </c>
      <c r="J7" s="72">
        <v>15.159019174739077</v>
      </c>
      <c r="K7" s="72">
        <v>20.3</v>
      </c>
      <c r="L7" s="72">
        <v>29.348081105949486</v>
      </c>
      <c r="M7" s="72">
        <v>30.625131525288189</v>
      </c>
      <c r="N7" s="72">
        <v>34.919781605913066</v>
      </c>
      <c r="O7" s="72">
        <v>26.730807994142662</v>
      </c>
      <c r="P7" s="72">
        <v>29.958439195333902</v>
      </c>
      <c r="Q7" s="72">
        <v>22.483050335188722</v>
      </c>
      <c r="R7" s="72">
        <v>21.341618146310754</v>
      </c>
      <c r="S7" s="72">
        <v>19.122941762706493</v>
      </c>
      <c r="T7" s="77">
        <v>32.521351197894255</v>
      </c>
      <c r="U7" s="77">
        <v>22.594117240500033</v>
      </c>
      <c r="V7" s="77"/>
      <c r="W7" s="30"/>
    </row>
    <row r="8" spans="1:25" ht="15" customHeight="1" x14ac:dyDescent="0.2">
      <c r="A8" s="71" t="s">
        <v>382</v>
      </c>
      <c r="B8" s="72">
        <v>18.945731445731447</v>
      </c>
      <c r="C8" s="72">
        <v>31.324976411915351</v>
      </c>
      <c r="D8" s="72">
        <v>30.812747501414293</v>
      </c>
      <c r="E8" s="72">
        <v>33.539818623321274</v>
      </c>
      <c r="F8" s="72">
        <v>42.951863148123593</v>
      </c>
      <c r="G8" s="72">
        <v>28.313634093557518</v>
      </c>
      <c r="H8" s="72">
        <v>24.417987858784702</v>
      </c>
      <c r="I8" s="72">
        <v>21.467524598205266</v>
      </c>
      <c r="J8" s="72">
        <v>20.634525660964233</v>
      </c>
      <c r="K8" s="72">
        <v>25.031273836765827</v>
      </c>
      <c r="L8" s="72">
        <v>36.062421418534129</v>
      </c>
      <c r="M8" s="77">
        <v>44.728339839286363</v>
      </c>
      <c r="N8" s="72">
        <v>36.645994363189935</v>
      </c>
      <c r="O8" s="77">
        <v>28.578060442876374</v>
      </c>
      <c r="P8" s="72">
        <v>29.627659574468083</v>
      </c>
      <c r="Q8" s="77">
        <v>23.317512474138979</v>
      </c>
      <c r="R8" s="77">
        <v>24.977631971368925</v>
      </c>
      <c r="S8" s="77">
        <v>37.522342912140793</v>
      </c>
      <c r="T8" s="77">
        <v>40.226670591698557</v>
      </c>
      <c r="U8" s="77">
        <v>47.621470363775117</v>
      </c>
      <c r="V8" s="77"/>
      <c r="W8" s="30"/>
      <c r="X8" s="43"/>
    </row>
    <row r="9" spans="1:25" ht="15" customHeight="1" x14ac:dyDescent="0.2">
      <c r="A9" s="73"/>
      <c r="B9" s="74"/>
      <c r="C9" s="74"/>
      <c r="D9" s="74"/>
      <c r="E9" s="74"/>
      <c r="F9" s="74"/>
      <c r="G9" s="74"/>
      <c r="H9" s="74"/>
      <c r="I9" s="74"/>
      <c r="J9" s="74"/>
      <c r="K9" s="74"/>
      <c r="L9" s="74"/>
      <c r="M9" s="74"/>
      <c r="N9" s="74"/>
      <c r="O9" s="74"/>
      <c r="P9" s="74"/>
      <c r="Q9" s="74"/>
      <c r="R9" s="74"/>
      <c r="S9" s="74"/>
      <c r="T9" s="74"/>
      <c r="U9" s="74"/>
      <c r="V9" s="74"/>
      <c r="W9" s="30"/>
      <c r="Y9" s="43"/>
    </row>
    <row r="10" spans="1:25" s="32" customFormat="1" ht="15" customHeight="1" x14ac:dyDescent="0.2">
      <c r="A10" s="75" t="s">
        <v>195</v>
      </c>
      <c r="B10" s="76"/>
      <c r="C10" s="76"/>
      <c r="D10" s="76"/>
      <c r="E10" s="76"/>
      <c r="F10" s="76"/>
      <c r="G10" s="76"/>
      <c r="H10" s="76"/>
      <c r="I10" s="76"/>
      <c r="J10" s="76"/>
      <c r="K10" s="76"/>
      <c r="L10" s="76"/>
      <c r="M10" s="76"/>
      <c r="N10" s="76"/>
      <c r="O10" s="76"/>
      <c r="P10" s="76"/>
      <c r="Q10" s="76"/>
      <c r="R10" s="76"/>
      <c r="S10" s="76"/>
      <c r="T10" s="76"/>
      <c r="U10" s="76"/>
      <c r="V10" s="76"/>
      <c r="W10" s="31"/>
    </row>
    <row r="11" spans="1:25" ht="15" customHeight="1" x14ac:dyDescent="0.2">
      <c r="A11" s="71" t="s">
        <v>290</v>
      </c>
      <c r="B11" s="72">
        <v>18.444639718804918</v>
      </c>
      <c r="C11" s="72">
        <v>14.314667136625985</v>
      </c>
      <c r="D11" s="72">
        <v>30.151825672340959</v>
      </c>
      <c r="E11" s="72">
        <v>16.27249804364838</v>
      </c>
      <c r="F11" s="72">
        <v>38.277284263959395</v>
      </c>
      <c r="G11" s="72">
        <v>13.249747649152631</v>
      </c>
      <c r="H11" s="72">
        <v>23.514827882139791</v>
      </c>
      <c r="I11" s="72">
        <v>11.366557895777712</v>
      </c>
      <c r="J11" s="72">
        <v>22.352377402694213</v>
      </c>
      <c r="K11" s="72">
        <v>12.790161414296694</v>
      </c>
      <c r="L11" s="72">
        <v>43.204806449159634</v>
      </c>
      <c r="M11" s="72">
        <v>19.844202349574921</v>
      </c>
      <c r="N11" s="72">
        <v>32.126376589127965</v>
      </c>
      <c r="O11" s="72">
        <v>22.966734555329261</v>
      </c>
      <c r="P11" s="77">
        <v>23.597409671367185</v>
      </c>
      <c r="Q11" s="77">
        <v>22.79485812451869</v>
      </c>
      <c r="R11" s="77">
        <v>24.015629696423204</v>
      </c>
      <c r="S11" s="77">
        <v>28.962669130033149</v>
      </c>
      <c r="T11" s="77">
        <v>40.856337289358073</v>
      </c>
      <c r="U11" s="77">
        <v>36.247098543996628</v>
      </c>
      <c r="V11" s="77"/>
      <c r="W11" s="30"/>
    </row>
    <row r="12" spans="1:25" ht="15" customHeight="1" x14ac:dyDescent="0.2">
      <c r="A12" s="71" t="s">
        <v>196</v>
      </c>
      <c r="B12" s="72">
        <v>32.796875</v>
      </c>
      <c r="C12" s="72">
        <v>104.80645161290323</v>
      </c>
      <c r="D12" s="72">
        <v>82.862068965517238</v>
      </c>
      <c r="E12" s="72">
        <v>98.5</v>
      </c>
      <c r="F12" s="72">
        <v>75.40625</v>
      </c>
      <c r="G12" s="72">
        <v>21.87719298245614</v>
      </c>
      <c r="H12" s="72">
        <v>20.898305084745761</v>
      </c>
      <c r="I12" s="72">
        <v>17.029629629629628</v>
      </c>
      <c r="J12" s="72">
        <v>13.4983922829582</v>
      </c>
      <c r="K12" s="72">
        <v>35.154929577464792</v>
      </c>
      <c r="L12" s="72">
        <v>42.081481481481482</v>
      </c>
      <c r="M12" s="72">
        <v>24.844036697247706</v>
      </c>
      <c r="N12" s="72">
        <v>15.286896134278649</v>
      </c>
      <c r="O12" s="72">
        <v>8.8423645320197046</v>
      </c>
      <c r="P12" s="77">
        <v>9.6749379652605452</v>
      </c>
      <c r="Q12" s="77">
        <v>8.9435897435897438</v>
      </c>
      <c r="R12" s="77">
        <v>10.349740932642487</v>
      </c>
      <c r="S12" s="77">
        <v>16.120418848167539</v>
      </c>
      <c r="T12" s="77">
        <v>16.2265625</v>
      </c>
      <c r="U12" s="77">
        <v>22.956790123456791</v>
      </c>
      <c r="V12" s="77"/>
      <c r="W12" s="30"/>
    </row>
    <row r="13" spans="1:25" ht="15" customHeight="1" x14ac:dyDescent="0.2">
      <c r="A13" s="71" t="s">
        <v>197</v>
      </c>
      <c r="B13" s="72">
        <v>65.224750799322933</v>
      </c>
      <c r="C13" s="72">
        <v>75</v>
      </c>
      <c r="D13" s="72">
        <v>139.14908830890241</v>
      </c>
      <c r="E13" s="72">
        <v>141.11870196413321</v>
      </c>
      <c r="F13" s="72">
        <v>85.121241513094077</v>
      </c>
      <c r="G13" s="72">
        <v>98.448484848484853</v>
      </c>
      <c r="H13" s="72">
        <v>58.371491140752539</v>
      </c>
      <c r="I13" s="72">
        <v>30.098923479778879</v>
      </c>
      <c r="J13" s="72">
        <v>26.52699435938759</v>
      </c>
      <c r="K13" s="72">
        <v>42.063752875451854</v>
      </c>
      <c r="L13" s="72">
        <v>44.312796208530806</v>
      </c>
      <c r="M13" s="72">
        <v>41.972405142677957</v>
      </c>
      <c r="N13" s="72">
        <v>26.880699665532305</v>
      </c>
      <c r="O13" s="72">
        <v>24.689689074597517</v>
      </c>
      <c r="P13" s="77">
        <v>39.312539783577336</v>
      </c>
      <c r="Q13" s="77">
        <v>33.422459893048128</v>
      </c>
      <c r="R13" s="77">
        <v>30.575499834309067</v>
      </c>
      <c r="S13" s="77">
        <v>38.294747662708737</v>
      </c>
      <c r="T13" s="77">
        <v>45.313425761346132</v>
      </c>
      <c r="U13" s="77">
        <v>59.479932165065009</v>
      </c>
      <c r="V13" s="77"/>
      <c r="W13" s="30"/>
    </row>
    <row r="14" spans="1:25" ht="15" customHeight="1" x14ac:dyDescent="0.2">
      <c r="A14" s="71" t="s">
        <v>412</v>
      </c>
      <c r="B14" s="72">
        <v>1.2665555026202955</v>
      </c>
      <c r="C14" s="72">
        <v>1.0101569713758078</v>
      </c>
      <c r="D14" s="72">
        <v>0.38798723817450409</v>
      </c>
      <c r="E14" s="72">
        <v>0.62570130911033928</v>
      </c>
      <c r="F14" s="72">
        <v>0.71211493300179585</v>
      </c>
      <c r="G14" s="72">
        <v>1.6539695268644747</v>
      </c>
      <c r="H14" s="72">
        <v>1.0184509326845093</v>
      </c>
      <c r="I14" s="72">
        <v>2.9899956502827316</v>
      </c>
      <c r="J14" s="72">
        <v>1.4780848022868032</v>
      </c>
      <c r="K14" s="72">
        <v>2.4383012820512819</v>
      </c>
      <c r="L14" s="72">
        <v>1.11424045062489</v>
      </c>
      <c r="M14" s="72">
        <v>2.3552437223042837</v>
      </c>
      <c r="N14" s="72">
        <v>1.9242866470976812</v>
      </c>
      <c r="O14" s="72">
        <v>2.4052616021282884</v>
      </c>
      <c r="P14" s="77">
        <v>2.0146191331110539</v>
      </c>
      <c r="Q14" s="77">
        <v>2.1382536382536381</v>
      </c>
      <c r="R14" s="77">
        <v>2.2660826032540675</v>
      </c>
      <c r="S14" s="77">
        <v>1.7387597495125706</v>
      </c>
      <c r="T14" s="77">
        <v>1.354357246027925</v>
      </c>
      <c r="U14" s="77">
        <v>1.2872944258477659</v>
      </c>
      <c r="V14" s="77"/>
      <c r="W14" s="30"/>
    </row>
    <row r="15" spans="1:25" ht="15" customHeight="1" x14ac:dyDescent="0.2">
      <c r="A15" s="71" t="s">
        <v>198</v>
      </c>
      <c r="B15" s="72">
        <v>0.40138161029061459</v>
      </c>
      <c r="C15" s="72">
        <v>0.1649859480905935</v>
      </c>
      <c r="D15" s="72">
        <v>-0.36177000971008461</v>
      </c>
      <c r="E15" s="72">
        <v>-0.10775022718421394</v>
      </c>
      <c r="F15" s="72">
        <v>0.48736013261500205</v>
      </c>
      <c r="G15" s="72">
        <v>0.52253756260434059</v>
      </c>
      <c r="H15" s="72">
        <v>0.80819140308191406</v>
      </c>
      <c r="I15" s="72">
        <v>1.0692421363732321</v>
      </c>
      <c r="J15" s="72">
        <v>1.0919485469271082</v>
      </c>
      <c r="K15" s="72">
        <v>0.78748577929465302</v>
      </c>
      <c r="L15" s="72">
        <v>0.62260165463826789</v>
      </c>
      <c r="M15" s="72">
        <v>0.60478533853724759</v>
      </c>
      <c r="N15" s="72">
        <v>0.98053415891306961</v>
      </c>
      <c r="O15" s="72">
        <v>1.3960981377475614</v>
      </c>
      <c r="P15" s="77">
        <v>1.161836368299564</v>
      </c>
      <c r="Q15" s="77">
        <v>1.4547817047817049</v>
      </c>
      <c r="R15" s="77">
        <v>2.0528160200250314</v>
      </c>
      <c r="S15" s="77">
        <v>1.0937316069234524</v>
      </c>
      <c r="T15" s="77">
        <v>1.1316000641951534</v>
      </c>
      <c r="U15" s="77">
        <v>0.77965361664968713</v>
      </c>
      <c r="V15" s="77"/>
      <c r="W15" s="30"/>
    </row>
    <row r="16" spans="1:25" ht="15" customHeight="1" x14ac:dyDescent="0.2">
      <c r="A16" s="78" t="s">
        <v>199</v>
      </c>
      <c r="B16" s="79">
        <v>0.11419857675364284</v>
      </c>
      <c r="C16" s="79">
        <v>6.4691774162183191E-2</v>
      </c>
      <c r="D16" s="79">
        <v>-0.14509847557583175</v>
      </c>
      <c r="E16" s="79">
        <v>-4.9936826905721675E-2</v>
      </c>
      <c r="F16" s="79">
        <v>0.31438246301906969</v>
      </c>
      <c r="G16" s="79">
        <v>0.28284836435929878</v>
      </c>
      <c r="H16" s="79">
        <v>0.30803709428129827</v>
      </c>
      <c r="I16" s="79">
        <v>0.47634722091601617</v>
      </c>
      <c r="J16" s="79">
        <v>0.47015384615384614</v>
      </c>
      <c r="K16" s="79">
        <v>0.35165616744564115</v>
      </c>
      <c r="L16" s="79">
        <v>0.73795117880242023</v>
      </c>
      <c r="M16" s="79">
        <v>0.73393739703459637</v>
      </c>
      <c r="N16" s="79">
        <v>1.8628925254312252</v>
      </c>
      <c r="O16" s="79">
        <v>1.4191706730769231</v>
      </c>
      <c r="P16" s="79">
        <v>1.1627310061601643</v>
      </c>
      <c r="Q16" s="79">
        <v>1.5316005471956224</v>
      </c>
      <c r="R16" s="79">
        <v>1.7606268784886216</v>
      </c>
      <c r="S16" s="79">
        <v>1.3525729616941997</v>
      </c>
      <c r="T16" s="79">
        <v>2.0302332277569826</v>
      </c>
      <c r="U16" s="79">
        <v>1.0894854586129754</v>
      </c>
      <c r="V16" s="79"/>
      <c r="W16" s="30"/>
    </row>
    <row r="17" spans="1:28" ht="15" customHeight="1" x14ac:dyDescent="0.2">
      <c r="A17" s="80"/>
      <c r="B17" s="81"/>
      <c r="C17" s="81"/>
      <c r="D17" s="81"/>
      <c r="E17" s="81"/>
      <c r="F17" s="81"/>
      <c r="G17" s="81"/>
      <c r="H17" s="81"/>
      <c r="I17" s="81"/>
      <c r="J17" s="81"/>
      <c r="K17" s="81"/>
      <c r="L17" s="81"/>
      <c r="M17" s="81"/>
      <c r="N17" s="81"/>
      <c r="O17" s="81"/>
      <c r="P17" s="81"/>
      <c r="Q17" s="81"/>
      <c r="R17" s="81"/>
      <c r="S17" s="81"/>
      <c r="T17" s="74"/>
      <c r="U17" s="74"/>
      <c r="V17" s="74"/>
      <c r="W17" s="30"/>
      <c r="AB17" s="43"/>
    </row>
    <row r="18" spans="1:28" ht="15" customHeight="1" x14ac:dyDescent="0.2">
      <c r="A18" s="82" t="s">
        <v>200</v>
      </c>
      <c r="B18" s="77">
        <v>3.1173235563703026</v>
      </c>
      <c r="C18" s="77">
        <v>3.4005563282336579</v>
      </c>
      <c r="D18" s="77">
        <v>3.1472602739726026</v>
      </c>
      <c r="E18" s="77">
        <v>1.691722169362512</v>
      </c>
      <c r="F18" s="77">
        <v>2.1066308243727598</v>
      </c>
      <c r="G18" s="77">
        <v>1.4869955156950672</v>
      </c>
      <c r="H18" s="77">
        <v>1.265757464061924</v>
      </c>
      <c r="I18" s="77">
        <v>1.91289592760181</v>
      </c>
      <c r="J18" s="77">
        <v>2.1840120663650073</v>
      </c>
      <c r="K18" s="77">
        <v>5.7494908350305503</v>
      </c>
      <c r="L18" s="77">
        <v>4.5816640986132509</v>
      </c>
      <c r="M18" s="77">
        <v>4.4991212653778563</v>
      </c>
      <c r="N18" s="77">
        <v>2.2404243976842482</v>
      </c>
      <c r="O18" s="77">
        <v>2.1580669616070689</v>
      </c>
      <c r="P18" s="77">
        <v>2.0604162718322994</v>
      </c>
      <c r="Q18" s="77">
        <v>1.6756280174400446</v>
      </c>
      <c r="R18" s="77">
        <v>0.88047471440028557</v>
      </c>
      <c r="S18" s="77">
        <v>5.8640851564558405</v>
      </c>
      <c r="T18" s="77">
        <v>4.1823041420587863</v>
      </c>
      <c r="U18" s="77">
        <v>5.1748876923341287</v>
      </c>
      <c r="V18" s="77"/>
      <c r="W18" s="30"/>
    </row>
    <row r="19" spans="1:28" ht="15" customHeight="1" x14ac:dyDescent="0.2">
      <c r="A19" s="82" t="s">
        <v>201</v>
      </c>
      <c r="B19" s="77">
        <v>12.772184500117067</v>
      </c>
      <c r="C19" s="77">
        <v>12.178184281842819</v>
      </c>
      <c r="D19" s="77">
        <v>13.714285714285715</v>
      </c>
      <c r="E19" s="77">
        <v>14.32856169052488</v>
      </c>
      <c r="F19" s="77">
        <v>15.80512675258462</v>
      </c>
      <c r="G19" s="77">
        <v>18.805869455220105</v>
      </c>
      <c r="H19" s="77">
        <v>21.939188096393337</v>
      </c>
      <c r="I19" s="77">
        <v>15.546957439324657</v>
      </c>
      <c r="J19" s="77">
        <v>17.297156274458651</v>
      </c>
      <c r="K19" s="77">
        <v>8.6019621583742119</v>
      </c>
      <c r="L19" s="77">
        <v>10.936051899907321</v>
      </c>
      <c r="M19" s="77">
        <v>11.595679641328713</v>
      </c>
      <c r="N19" s="77">
        <v>19.360258259428225</v>
      </c>
      <c r="O19" s="77">
        <v>18.370188708654695</v>
      </c>
      <c r="P19" s="77">
        <v>20.520682357609882</v>
      </c>
      <c r="Q19" s="77">
        <v>16.45086049472458</v>
      </c>
      <c r="R19" s="77">
        <v>21.891841160715067</v>
      </c>
      <c r="S19" s="77">
        <v>9.1874474871443272</v>
      </c>
      <c r="T19" s="77">
        <v>13.304003554604114</v>
      </c>
      <c r="U19" s="77">
        <v>7.9422351406309586</v>
      </c>
      <c r="V19" s="77"/>
      <c r="W19" s="30"/>
    </row>
    <row r="20" spans="1:28" ht="15" customHeight="1" x14ac:dyDescent="0.2">
      <c r="A20" s="73"/>
      <c r="B20" s="74"/>
      <c r="C20" s="74"/>
      <c r="D20" s="74"/>
      <c r="E20" s="74"/>
      <c r="F20" s="74"/>
      <c r="G20" s="74"/>
      <c r="H20" s="74"/>
      <c r="I20" s="74"/>
      <c r="J20" s="74"/>
      <c r="K20" s="74"/>
      <c r="L20" s="74"/>
      <c r="M20" s="74"/>
      <c r="N20" s="74"/>
      <c r="O20" s="74"/>
      <c r="P20" s="74"/>
      <c r="Q20" s="74"/>
      <c r="R20" s="74"/>
      <c r="S20" s="74"/>
      <c r="T20" s="74"/>
      <c r="U20" s="74"/>
      <c r="V20" s="74"/>
      <c r="W20" s="30"/>
    </row>
    <row r="21" spans="1:28" ht="15" customHeight="1" x14ac:dyDescent="0.2">
      <c r="A21" s="75" t="s">
        <v>202</v>
      </c>
      <c r="B21" s="76"/>
      <c r="C21" s="76"/>
      <c r="D21" s="76"/>
      <c r="E21" s="76"/>
      <c r="F21" s="76"/>
      <c r="G21" s="76"/>
      <c r="H21" s="76"/>
      <c r="I21" s="76"/>
      <c r="J21" s="76"/>
      <c r="K21" s="76"/>
      <c r="L21" s="83"/>
      <c r="M21" s="83"/>
      <c r="N21" s="83"/>
      <c r="O21" s="83"/>
      <c r="P21" s="83"/>
      <c r="Q21" s="83"/>
      <c r="R21" s="373"/>
      <c r="S21" s="373"/>
      <c r="T21" s="86"/>
      <c r="U21" s="394"/>
      <c r="V21" s="394"/>
      <c r="W21" s="30"/>
    </row>
    <row r="22" spans="1:28" s="32" customFormat="1" ht="15" customHeight="1" x14ac:dyDescent="0.2">
      <c r="A22" s="41" t="s">
        <v>203</v>
      </c>
      <c r="B22" s="84" t="s">
        <v>207</v>
      </c>
      <c r="C22" s="84" t="s">
        <v>207</v>
      </c>
      <c r="D22" s="84" t="s">
        <v>207</v>
      </c>
      <c r="E22" s="84" t="s">
        <v>207</v>
      </c>
      <c r="F22" s="83">
        <v>13913.44</v>
      </c>
      <c r="G22" s="85" t="s">
        <v>207</v>
      </c>
      <c r="H22" s="83">
        <v>16532.32</v>
      </c>
      <c r="I22" s="83">
        <v>16161.439999999999</v>
      </c>
      <c r="J22" s="83">
        <v>15330.98</v>
      </c>
      <c r="K22" s="83">
        <v>14420.32</v>
      </c>
      <c r="L22" s="83">
        <v>8838.3799999999992</v>
      </c>
      <c r="M22" s="83">
        <v>8977.5663500106966</v>
      </c>
      <c r="N22" s="83">
        <v>7197</v>
      </c>
      <c r="O22" s="83">
        <v>8613.7199999999993</v>
      </c>
      <c r="P22" s="86">
        <v>9762.18</v>
      </c>
      <c r="Q22" s="86">
        <v>10745.92</v>
      </c>
      <c r="R22" s="86">
        <v>14139.92</v>
      </c>
      <c r="S22" s="394">
        <v>11459.36</v>
      </c>
      <c r="T22" s="86">
        <v>11665.4</v>
      </c>
      <c r="U22" s="394">
        <v>11249.68</v>
      </c>
      <c r="V22" s="394"/>
      <c r="W22" s="31"/>
      <c r="X22" s="42"/>
      <c r="Y22" s="42"/>
      <c r="Z22" s="42"/>
      <c r="AA22" s="87"/>
      <c r="AB22" s="87"/>
    </row>
    <row r="23" spans="1:28" s="32" customFormat="1" ht="15" customHeight="1" x14ac:dyDescent="0.2">
      <c r="A23" s="41" t="s">
        <v>204</v>
      </c>
      <c r="B23" s="84" t="s">
        <v>207</v>
      </c>
      <c r="C23" s="84" t="s">
        <v>207</v>
      </c>
      <c r="D23" s="84" t="s">
        <v>207</v>
      </c>
      <c r="E23" s="84" t="s">
        <v>207</v>
      </c>
      <c r="F23" s="85" t="s">
        <v>207</v>
      </c>
      <c r="G23" s="85" t="s">
        <v>207</v>
      </c>
      <c r="H23" s="83">
        <v>15222.880000000001</v>
      </c>
      <c r="I23" s="83">
        <v>16346.880000000001</v>
      </c>
      <c r="J23" s="83">
        <v>15931.65</v>
      </c>
      <c r="K23" s="83">
        <v>14875.65</v>
      </c>
      <c r="L23" s="83">
        <v>12084.68</v>
      </c>
      <c r="M23" s="83">
        <v>11698.943175005348</v>
      </c>
      <c r="N23" s="83">
        <v>8018</v>
      </c>
      <c r="O23" s="83">
        <v>8795.6431750053489</v>
      </c>
      <c r="P23" s="86">
        <v>8479.59</v>
      </c>
      <c r="Q23" s="86">
        <v>9679.82</v>
      </c>
      <c r="R23" s="86">
        <v>11951.05</v>
      </c>
      <c r="S23" s="394">
        <v>11102.64</v>
      </c>
      <c r="T23" s="86">
        <v>12902.66</v>
      </c>
      <c r="U23" s="394">
        <v>11354.52</v>
      </c>
      <c r="V23" s="394"/>
      <c r="W23" s="31"/>
    </row>
    <row r="24" spans="1:28" s="32" customFormat="1" ht="15" customHeight="1" x14ac:dyDescent="0.2">
      <c r="A24" s="41" t="s">
        <v>371</v>
      </c>
      <c r="B24" s="84" t="s">
        <v>207</v>
      </c>
      <c r="C24" s="84" t="s">
        <v>207</v>
      </c>
      <c r="D24" s="84" t="s">
        <v>207</v>
      </c>
      <c r="E24" s="84" t="s">
        <v>207</v>
      </c>
      <c r="F24" s="84" t="s">
        <v>207</v>
      </c>
      <c r="G24" s="84" t="s">
        <v>207</v>
      </c>
      <c r="H24" s="88">
        <v>25.5</v>
      </c>
      <c r="I24" s="88">
        <v>25.9</v>
      </c>
      <c r="J24" s="88">
        <v>27.2</v>
      </c>
      <c r="K24" s="88">
        <v>26.4</v>
      </c>
      <c r="L24" s="88">
        <v>27</v>
      </c>
      <c r="M24" s="88">
        <v>26.2</v>
      </c>
      <c r="N24" s="88">
        <v>26.1</v>
      </c>
      <c r="O24" s="88">
        <v>7.7865000000000002</v>
      </c>
      <c r="P24" s="89">
        <v>23.9870492470492</v>
      </c>
      <c r="Q24" s="89">
        <v>24.275615763546799</v>
      </c>
      <c r="R24" s="89">
        <v>23.864255060457602</v>
      </c>
      <c r="S24" s="89">
        <v>22.200389105058399</v>
      </c>
      <c r="T24" s="89">
        <v>23.232356888579901</v>
      </c>
      <c r="U24" s="89">
        <v>21.689451743100602</v>
      </c>
      <c r="V24" s="89"/>
      <c r="W24" s="31"/>
      <c r="X24" s="90"/>
      <c r="Y24" s="91"/>
    </row>
    <row r="25" spans="1:28" s="32" customFormat="1" ht="15" customHeight="1" x14ac:dyDescent="0.2">
      <c r="A25" s="41" t="s">
        <v>372</v>
      </c>
      <c r="B25" s="84" t="s">
        <v>207</v>
      </c>
      <c r="C25" s="84" t="s">
        <v>207</v>
      </c>
      <c r="D25" s="92">
        <v>24.07</v>
      </c>
      <c r="E25" s="92" t="s">
        <v>207</v>
      </c>
      <c r="F25" s="88">
        <v>25.5</v>
      </c>
      <c r="G25" s="88">
        <v>26.3</v>
      </c>
      <c r="H25" s="345">
        <v>26.9</v>
      </c>
      <c r="I25" s="345">
        <v>24</v>
      </c>
      <c r="J25" s="345">
        <v>29.08</v>
      </c>
      <c r="K25" s="345">
        <v>22.88</v>
      </c>
      <c r="L25" s="345">
        <v>25.72</v>
      </c>
      <c r="M25" s="345">
        <v>25.85</v>
      </c>
      <c r="N25" s="345">
        <v>23.5</v>
      </c>
      <c r="O25" s="345">
        <v>22.1</v>
      </c>
      <c r="P25" s="345">
        <v>22.741147741147699</v>
      </c>
      <c r="Q25" s="345">
        <v>24.9</v>
      </c>
      <c r="R25" s="345">
        <v>25.351617440224999</v>
      </c>
      <c r="S25" s="345">
        <v>19.6011673151751</v>
      </c>
      <c r="T25" s="382">
        <v>21.604305484366993</v>
      </c>
      <c r="U25" s="382">
        <v>20.567187914126688</v>
      </c>
      <c r="V25" s="382"/>
      <c r="W25" s="31"/>
      <c r="X25" s="93"/>
      <c r="Y25" s="94"/>
      <c r="Z25" s="94"/>
      <c r="AA25" s="94"/>
      <c r="AB25" s="94"/>
    </row>
    <row r="26" spans="1:28" s="32" customFormat="1" ht="15" customHeight="1" x14ac:dyDescent="0.2">
      <c r="A26" s="95" t="s">
        <v>205</v>
      </c>
      <c r="B26" s="96" t="s">
        <v>207</v>
      </c>
      <c r="C26" s="96" t="s">
        <v>207</v>
      </c>
      <c r="D26" s="96" t="s">
        <v>207</v>
      </c>
      <c r="E26" s="96" t="s">
        <v>207</v>
      </c>
      <c r="F26" s="97" t="s">
        <v>207</v>
      </c>
      <c r="G26" s="97" t="s">
        <v>207</v>
      </c>
      <c r="H26" s="98">
        <v>3086.0580704624986</v>
      </c>
      <c r="I26" s="98">
        <v>2756.0212370749514</v>
      </c>
      <c r="J26" s="98">
        <v>2415.0818783523182</v>
      </c>
      <c r="K26" s="98">
        <v>3018.7836374971725</v>
      </c>
      <c r="L26" s="98">
        <v>3546.6216877944566</v>
      </c>
      <c r="M26" s="98">
        <v>3582.8167344141139</v>
      </c>
      <c r="N26" s="98">
        <v>2800</v>
      </c>
      <c r="O26" s="98">
        <v>2351.1464889605932</v>
      </c>
      <c r="P26" s="98">
        <v>2540.3528141636143</v>
      </c>
      <c r="Q26" s="98">
        <v>2176.318802955665</v>
      </c>
      <c r="R26" s="98">
        <v>2550.5474554746711</v>
      </c>
      <c r="S26" s="98">
        <v>2123</v>
      </c>
      <c r="T26" s="175">
        <v>4196.1193724702225</v>
      </c>
      <c r="U26" s="175">
        <v>2565.4535608960246</v>
      </c>
      <c r="V26" s="394"/>
      <c r="W26" s="31"/>
      <c r="X26" s="31"/>
      <c r="Y26" s="99"/>
      <c r="Z26" s="99"/>
      <c r="AA26" s="99"/>
      <c r="AB26" s="99"/>
    </row>
    <row r="27" spans="1:28" s="32" customFormat="1" ht="15" customHeight="1" x14ac:dyDescent="0.2">
      <c r="A27" s="62" t="s">
        <v>55</v>
      </c>
      <c r="B27" s="100"/>
      <c r="C27" s="100"/>
      <c r="D27" s="100"/>
      <c r="E27" s="100"/>
      <c r="F27" s="100"/>
      <c r="G27" s="100"/>
      <c r="H27" s="94"/>
      <c r="I27" s="94"/>
      <c r="J27" s="94"/>
      <c r="K27" s="94"/>
      <c r="L27" s="94"/>
      <c r="M27" s="94"/>
      <c r="N27" s="94"/>
      <c r="O27" s="94"/>
      <c r="P27" s="94"/>
      <c r="Q27" s="94"/>
      <c r="R27" s="94"/>
      <c r="S27" s="94"/>
      <c r="T27" s="94"/>
      <c r="U27" s="94"/>
      <c r="V27" s="94"/>
      <c r="X27" s="101"/>
    </row>
    <row r="28" spans="1:28" s="32" customFormat="1" ht="15" customHeight="1" x14ac:dyDescent="0.2">
      <c r="A28" s="62"/>
      <c r="B28" s="100"/>
      <c r="C28" s="100"/>
      <c r="D28" s="100"/>
      <c r="E28" s="100"/>
      <c r="F28" s="100"/>
      <c r="G28" s="100"/>
      <c r="H28" s="102"/>
      <c r="I28" s="102"/>
      <c r="J28" s="102"/>
      <c r="K28" s="102"/>
      <c r="L28" s="102"/>
      <c r="M28" s="102"/>
      <c r="N28" s="102"/>
      <c r="O28" s="102"/>
      <c r="P28" s="102"/>
      <c r="Q28" s="102"/>
      <c r="R28" s="102"/>
      <c r="S28" s="102"/>
      <c r="T28" s="102"/>
      <c r="U28" s="102"/>
      <c r="V28" s="102"/>
      <c r="Y28" s="103"/>
      <c r="Z28" s="101"/>
    </row>
    <row r="29" spans="1:28" ht="15" customHeight="1" x14ac:dyDescent="0.2">
      <c r="A29" s="15" t="s">
        <v>56</v>
      </c>
      <c r="F29" s="104"/>
      <c r="G29" s="66"/>
      <c r="H29" s="65"/>
      <c r="I29" s="105"/>
      <c r="J29" s="65"/>
      <c r="K29" s="65"/>
      <c r="L29" s="65"/>
      <c r="M29" s="65"/>
      <c r="N29" s="65"/>
      <c r="O29" s="65"/>
      <c r="P29" s="65"/>
      <c r="Q29" s="65"/>
      <c r="R29" s="65"/>
      <c r="S29" s="65"/>
      <c r="T29" s="65"/>
      <c r="U29" s="65"/>
      <c r="V29" s="65"/>
      <c r="X29" s="106"/>
    </row>
    <row r="30" spans="1:28" s="25" customFormat="1" ht="27" x14ac:dyDescent="0.2">
      <c r="A30" s="63" t="s">
        <v>377</v>
      </c>
      <c r="B30" s="228"/>
      <c r="C30" s="228"/>
      <c r="D30" s="228"/>
      <c r="E30" s="228"/>
      <c r="F30" s="228"/>
      <c r="G30" s="232"/>
      <c r="H30" s="232"/>
      <c r="I30" s="350"/>
      <c r="J30" s="232"/>
      <c r="K30" s="350"/>
      <c r="L30" s="232"/>
      <c r="M30" s="232"/>
      <c r="N30" s="232"/>
      <c r="O30" s="232"/>
      <c r="P30" s="232"/>
      <c r="Q30" s="232"/>
      <c r="R30" s="232"/>
      <c r="S30" s="232"/>
      <c r="T30" s="232"/>
      <c r="U30" s="232"/>
      <c r="V30" s="232"/>
      <c r="W30" s="351"/>
      <c r="X30" s="352"/>
      <c r="Y30" s="351"/>
    </row>
    <row r="31" spans="1:28" s="25" customFormat="1" ht="27" x14ac:dyDescent="0.2">
      <c r="A31" s="63" t="s">
        <v>381</v>
      </c>
      <c r="B31" s="228"/>
      <c r="C31" s="228"/>
      <c r="D31" s="228"/>
      <c r="E31" s="228"/>
      <c r="F31" s="228"/>
      <c r="G31" s="228"/>
      <c r="H31" s="228"/>
      <c r="I31" s="228"/>
      <c r="J31" s="228"/>
      <c r="K31" s="228"/>
      <c r="L31" s="228"/>
      <c r="M31" s="228"/>
      <c r="N31" s="228"/>
      <c r="O31" s="228"/>
      <c r="P31" s="228"/>
      <c r="Q31" s="228"/>
      <c r="R31" s="228"/>
      <c r="S31" s="228"/>
      <c r="T31" s="228"/>
      <c r="U31" s="228"/>
      <c r="V31" s="228"/>
    </row>
    <row r="32" spans="1:28" x14ac:dyDescent="0.2">
      <c r="A32" s="63"/>
    </row>
  </sheetData>
  <customSheetViews>
    <customSheetView guid="{0879B2E0-1447-4BF4-B278-DFA3BD4BF3E7}" showPageBreaks="1" fitToPage="1" printArea="1" view="pageBreakPreview">
      <selection activeCell="O1" sqref="O1"/>
      <pageMargins left="0.7" right="0.7" top="0.75" bottom="0.75" header="0.3" footer="0.3"/>
      <pageSetup paperSize="9" scale="75" orientation="landscape" r:id="rId1"/>
    </customSheetView>
    <customSheetView guid="{B24A12A4-9623-4099-956E-0B4C7C8D3F73}" scale="85" showPageBreaks="1" fitToPage="1" printArea="1" view="pageBreakPreview">
      <selection activeCell="A44" sqref="A44"/>
      <pageMargins left="0.7" right="0.7" top="0.75" bottom="0.75" header="0.3" footer="0.3"/>
      <pageSetup paperSize="9" scale="82" orientation="landscape" r:id="rId2"/>
    </customSheetView>
    <customSheetView guid="{93BA635E-1664-4099-8295-6B100E16362A}" scale="85" showPageBreaks="1" fitToPage="1" printArea="1" view="pageBreakPreview">
      <selection activeCell="N12" sqref="N12"/>
      <pageMargins left="0.7" right="0.7" top="0.75" bottom="0.75" header="0.3" footer="0.3"/>
      <pageSetup paperSize="9" scale="82" orientation="landscape" r:id="rId3"/>
    </customSheetView>
  </customSheetViews>
  <hyperlinks>
    <hyperlink ref="W3" location="MENU!A1" display="MENU"/>
  </hyperlinks>
  <pageMargins left="0.7" right="0.7" top="0.75" bottom="0.75" header="0.3" footer="0.3"/>
  <pageSetup paperSize="9" scale="61" orientation="landscape" r:id="rId4"/>
  <customProperties>
    <customPr name="_pios_id" r:id="rId5"/>
    <customPr name="CofWorksheetType" r:id="rId6"/>
    <customPr name="EpmWorksheetKeyString_GUID" r:id="rId7"/>
  </customProperties>
  <drawing r:id="rId8"/>
  <legacyDrawing r:id="rId9"/>
  <legacyDrawingHF r:id="rId10"/>
  <controls>
    <mc:AlternateContent xmlns:mc="http://schemas.openxmlformats.org/markup-compatibility/2006">
      <mc:Choice Requires="x14">
        <control shapeId="264193" r:id="rId11" name="FPMExcelClientSheetOptionstb1">
          <controlPr defaultSize="0" autoLine="0" r:id="rId12">
            <anchor moveWithCells="1" sizeWithCells="1">
              <from>
                <xdr:col>0</xdr:col>
                <xdr:colOff>0</xdr:colOff>
                <xdr:row>0</xdr:row>
                <xdr:rowOff>0</xdr:rowOff>
              </from>
              <to>
                <xdr:col>0</xdr:col>
                <xdr:colOff>0</xdr:colOff>
                <xdr:row>0</xdr:row>
                <xdr:rowOff>0</xdr:rowOff>
              </to>
            </anchor>
          </controlPr>
        </control>
      </mc:Choice>
      <mc:Fallback>
        <control shapeId="264193" r:id="rId11"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236CB0"/>
    <pageSetUpPr fitToPage="1"/>
  </sheetPr>
  <dimension ref="A1:AO55"/>
  <sheetViews>
    <sheetView zoomScale="85" zoomScaleNormal="85" zoomScaleSheetLayoutView="85" zoomScalePageLayoutView="85" workbookViewId="0">
      <pane xSplit="1" ySplit="2" topLeftCell="L35" activePane="bottomRight" state="frozen"/>
      <selection activeCell="B30" sqref="B30"/>
      <selection pane="topRight" activeCell="B30" sqref="B30"/>
      <selection pane="bottomLeft" activeCell="B30" sqref="B30"/>
      <selection pane="bottomRight" sqref="A1:AK51"/>
    </sheetView>
  </sheetViews>
  <sheetFormatPr defaultColWidth="8.85546875" defaultRowHeight="12.75" outlineLevelRow="2" outlineLevelCol="1" x14ac:dyDescent="0.2"/>
  <cols>
    <col min="1" max="1" width="60.7109375" style="22" customWidth="1"/>
    <col min="2" max="2" width="12.7109375" style="48" customWidth="1"/>
    <col min="3" max="3" width="12.85546875" style="48" customWidth="1"/>
    <col min="4" max="21" width="12.7109375" style="48" customWidth="1"/>
    <col min="22" max="39" width="10.7109375" style="64" hidden="1" customWidth="1" outlineLevel="1"/>
    <col min="40" max="40" width="10.7109375" style="22" customWidth="1" collapsed="1"/>
    <col min="41" max="16384" width="8.85546875" style="22"/>
  </cols>
  <sheetData>
    <row r="1" spans="1:41" ht="30" customHeight="1" thickBot="1" x14ac:dyDescent="0.25">
      <c r="A1" s="406" t="s">
        <v>624</v>
      </c>
      <c r="B1" s="402"/>
      <c r="C1" s="402"/>
      <c r="D1" s="407"/>
      <c r="E1" s="407"/>
      <c r="F1" s="407"/>
      <c r="G1" s="407"/>
      <c r="H1" s="407"/>
      <c r="I1" s="407"/>
      <c r="J1" s="407"/>
      <c r="K1" s="407"/>
      <c r="L1" s="407"/>
      <c r="M1" s="407"/>
      <c r="N1" s="407"/>
      <c r="O1" s="407"/>
      <c r="P1" s="407"/>
      <c r="Q1" s="407"/>
      <c r="R1" s="407"/>
      <c r="S1" s="426"/>
      <c r="T1" s="426"/>
      <c r="U1" s="426"/>
      <c r="V1" s="111"/>
      <c r="W1" s="112"/>
      <c r="X1" s="112"/>
      <c r="Y1" s="113"/>
      <c r="Z1" s="113"/>
      <c r="AA1" s="113"/>
      <c r="AB1" s="113"/>
      <c r="AC1" s="113"/>
      <c r="AD1" s="113"/>
      <c r="AE1" s="113"/>
      <c r="AF1" s="113"/>
      <c r="AG1" s="113"/>
      <c r="AH1" s="113"/>
      <c r="AI1" s="113"/>
      <c r="AJ1" s="212"/>
      <c r="AK1" s="212"/>
      <c r="AL1" s="212"/>
      <c r="AM1" s="212"/>
      <c r="AN1" s="114"/>
    </row>
    <row r="2" spans="1:41" s="20" customFormat="1" ht="30" customHeight="1" thickBot="1" x14ac:dyDescent="0.3">
      <c r="A2" s="408" t="s">
        <v>177</v>
      </c>
      <c r="B2" s="115">
        <v>2009</v>
      </c>
      <c r="C2" s="115" t="s">
        <v>208</v>
      </c>
      <c r="D2" s="115">
        <v>2010</v>
      </c>
      <c r="E2" s="115" t="s">
        <v>209</v>
      </c>
      <c r="F2" s="115">
        <v>2011</v>
      </c>
      <c r="G2" s="115" t="s">
        <v>210</v>
      </c>
      <c r="H2" s="115">
        <v>2012</v>
      </c>
      <c r="I2" s="115" t="s">
        <v>211</v>
      </c>
      <c r="J2" s="115">
        <v>2013</v>
      </c>
      <c r="K2" s="115" t="s">
        <v>212</v>
      </c>
      <c r="L2" s="115">
        <v>2014</v>
      </c>
      <c r="M2" s="115" t="s">
        <v>213</v>
      </c>
      <c r="N2" s="23">
        <v>2015</v>
      </c>
      <c r="O2" s="115" t="s">
        <v>343</v>
      </c>
      <c r="P2" s="115">
        <v>2016</v>
      </c>
      <c r="Q2" s="23" t="s">
        <v>405</v>
      </c>
      <c r="R2" s="23">
        <v>2017</v>
      </c>
      <c r="S2" s="23" t="s">
        <v>431</v>
      </c>
      <c r="T2" s="23">
        <v>2018</v>
      </c>
      <c r="U2" s="23" t="s">
        <v>577</v>
      </c>
      <c r="V2" s="23" t="s">
        <v>232</v>
      </c>
      <c r="W2" s="23" t="s">
        <v>373</v>
      </c>
      <c r="X2" s="23" t="s">
        <v>233</v>
      </c>
      <c r="Y2" s="23" t="s">
        <v>234</v>
      </c>
      <c r="Z2" s="23" t="s">
        <v>223</v>
      </c>
      <c r="AA2" s="23" t="s">
        <v>235</v>
      </c>
      <c r="AB2" s="23" t="s">
        <v>236</v>
      </c>
      <c r="AC2" s="23" t="s">
        <v>237</v>
      </c>
      <c r="AD2" s="23" t="s">
        <v>238</v>
      </c>
      <c r="AE2" s="23" t="s">
        <v>239</v>
      </c>
      <c r="AF2" s="23" t="s">
        <v>337</v>
      </c>
      <c r="AG2" s="23" t="s">
        <v>342</v>
      </c>
      <c r="AH2" s="23" t="s">
        <v>368</v>
      </c>
      <c r="AI2" s="23" t="s">
        <v>409</v>
      </c>
      <c r="AJ2" s="312" t="s">
        <v>419</v>
      </c>
      <c r="AK2" s="23" t="s">
        <v>435</v>
      </c>
      <c r="AL2" s="23" t="s">
        <v>490</v>
      </c>
      <c r="AM2" s="23" t="s">
        <v>588</v>
      </c>
      <c r="AN2" s="116" t="s">
        <v>215</v>
      </c>
      <c r="AO2" s="117"/>
    </row>
    <row r="3" spans="1:41" ht="15" customHeight="1" x14ac:dyDescent="0.25">
      <c r="A3" s="133" t="s">
        <v>617</v>
      </c>
      <c r="B3" s="27">
        <v>4206</v>
      </c>
      <c r="C3" s="27">
        <v>3052</v>
      </c>
      <c r="D3" s="27">
        <v>6459</v>
      </c>
      <c r="E3" s="27">
        <v>3654</v>
      </c>
      <c r="F3" s="27">
        <v>6715</v>
      </c>
      <c r="G3" s="27">
        <v>2680</v>
      </c>
      <c r="H3" s="27">
        <v>5223</v>
      </c>
      <c r="I3" s="27">
        <v>2222</v>
      </c>
      <c r="J3" s="27">
        <v>4355</v>
      </c>
      <c r="K3" s="27">
        <v>2145</v>
      </c>
      <c r="L3" s="27">
        <v>4636</v>
      </c>
      <c r="M3" s="27">
        <v>1816</v>
      </c>
      <c r="N3" s="27">
        <v>3010</v>
      </c>
      <c r="O3" s="27">
        <v>1278</v>
      </c>
      <c r="P3" s="27">
        <v>2625</v>
      </c>
      <c r="Q3" s="27">
        <v>1114</v>
      </c>
      <c r="R3" s="27">
        <v>2416</v>
      </c>
      <c r="S3" s="27">
        <v>1494</v>
      </c>
      <c r="T3" s="308">
        <v>3013</v>
      </c>
      <c r="U3" s="308">
        <v>1499</v>
      </c>
      <c r="V3" s="119">
        <v>0.53566333808844502</v>
      </c>
      <c r="W3" s="119">
        <v>0.19724770642201839</v>
      </c>
      <c r="X3" s="119">
        <v>3.9634618361975571E-2</v>
      </c>
      <c r="Y3" s="119">
        <v>-0.26655719759168039</v>
      </c>
      <c r="Z3" s="119">
        <v>-0.22218912881608344</v>
      </c>
      <c r="AA3" s="119">
        <v>-0.17089552238805972</v>
      </c>
      <c r="AB3" s="119">
        <v>-0.16618801455102428</v>
      </c>
      <c r="AC3" s="119">
        <v>-3.4653465346534684E-2</v>
      </c>
      <c r="AD3" s="119">
        <v>7.3708381171067705E-2</v>
      </c>
      <c r="AE3" s="119">
        <v>-0.14498834498834501</v>
      </c>
      <c r="AF3" s="119">
        <v>-0.35073339085418465</v>
      </c>
      <c r="AG3" s="119">
        <v>-0.29625550660792954</v>
      </c>
      <c r="AH3" s="119">
        <v>-0.12790697674418605</v>
      </c>
      <c r="AI3" s="119">
        <v>-0.16823161189358371</v>
      </c>
      <c r="AJ3" s="119">
        <v>-0.12228571428571433</v>
      </c>
      <c r="AK3" s="29">
        <v>0.34111310592459598</v>
      </c>
      <c r="AL3" s="29">
        <v>0.2471026490066226</v>
      </c>
      <c r="AM3" s="563">
        <v>3.3467202141901353E-3</v>
      </c>
      <c r="AN3" s="30"/>
    </row>
    <row r="4" spans="1:41" ht="15" customHeight="1" outlineLevel="2" x14ac:dyDescent="0.2">
      <c r="A4" s="133" t="s">
        <v>618</v>
      </c>
      <c r="B4" s="27">
        <v>2190</v>
      </c>
      <c r="C4" s="27">
        <v>1261</v>
      </c>
      <c r="D4" s="27">
        <v>2941</v>
      </c>
      <c r="E4" s="27">
        <v>1526</v>
      </c>
      <c r="F4" s="27">
        <v>3258</v>
      </c>
      <c r="G4" s="27">
        <v>1307</v>
      </c>
      <c r="H4" s="27">
        <v>2871</v>
      </c>
      <c r="I4" s="27">
        <v>1266</v>
      </c>
      <c r="J4" s="27">
        <v>2721</v>
      </c>
      <c r="K4" s="27">
        <v>1220</v>
      </c>
      <c r="L4" s="27">
        <v>2468</v>
      </c>
      <c r="M4" s="27">
        <v>1059</v>
      </c>
      <c r="N4" s="27">
        <v>1916</v>
      </c>
      <c r="O4" s="27">
        <v>862</v>
      </c>
      <c r="P4" s="27">
        <v>1839</v>
      </c>
      <c r="Q4" s="27">
        <v>1065</v>
      </c>
      <c r="R4" s="27">
        <v>2422</v>
      </c>
      <c r="S4" s="27">
        <v>1405</v>
      </c>
      <c r="T4" s="308">
        <v>2977</v>
      </c>
      <c r="U4" s="308">
        <v>1385</v>
      </c>
      <c r="V4" s="119">
        <v>0.3429223744292238</v>
      </c>
      <c r="W4" s="119">
        <v>0.21015067406819976</v>
      </c>
      <c r="X4" s="119">
        <v>0.10778646718803131</v>
      </c>
      <c r="Y4" s="119">
        <v>-0.14351245085190034</v>
      </c>
      <c r="Z4" s="119">
        <v>-0.11878453038674031</v>
      </c>
      <c r="AA4" s="119">
        <v>-3.1369548584544771E-2</v>
      </c>
      <c r="AB4" s="119">
        <v>-5.2246603970741878E-2</v>
      </c>
      <c r="AC4" s="119">
        <v>-3.6334913112164302E-2</v>
      </c>
      <c r="AD4" s="119">
        <v>-6.7989709665564169E-2</v>
      </c>
      <c r="AE4" s="119">
        <v>-0.10409836065573801</v>
      </c>
      <c r="AF4" s="119">
        <v>-0.22366288492706643</v>
      </c>
      <c r="AG4" s="119">
        <v>-0.18602455146364494</v>
      </c>
      <c r="AH4" s="119">
        <v>-4.0187891440501056E-2</v>
      </c>
      <c r="AI4" s="119">
        <v>0.18329466357308588</v>
      </c>
      <c r="AJ4" s="119">
        <v>0.24034801522566607</v>
      </c>
      <c r="AK4" s="119">
        <v>0.31924882629107976</v>
      </c>
      <c r="AL4" s="119">
        <v>0.2291494632535096</v>
      </c>
      <c r="AM4" s="119">
        <v>-1.4234875444839812E-2</v>
      </c>
      <c r="AN4" s="30"/>
    </row>
    <row r="5" spans="1:41" ht="15" customHeight="1" outlineLevel="2" x14ac:dyDescent="0.2">
      <c r="A5" s="133" t="s">
        <v>619</v>
      </c>
      <c r="B5" s="27">
        <v>751</v>
      </c>
      <c r="C5" s="27">
        <v>667</v>
      </c>
      <c r="D5" s="27">
        <v>1479</v>
      </c>
      <c r="E5" s="27">
        <v>1078</v>
      </c>
      <c r="F5" s="27">
        <v>1985</v>
      </c>
      <c r="G5" s="27">
        <v>861</v>
      </c>
      <c r="H5" s="27">
        <v>1722</v>
      </c>
      <c r="I5" s="27">
        <v>954</v>
      </c>
      <c r="J5" s="27">
        <v>1935</v>
      </c>
      <c r="K5" s="27">
        <v>1124</v>
      </c>
      <c r="L5" s="27">
        <v>2221</v>
      </c>
      <c r="M5" s="27">
        <v>1035</v>
      </c>
      <c r="N5" s="27">
        <v>1807</v>
      </c>
      <c r="O5" s="27">
        <v>810</v>
      </c>
      <c r="P5" s="27">
        <v>1888</v>
      </c>
      <c r="Q5" s="27">
        <v>1206</v>
      </c>
      <c r="R5" s="27">
        <v>2434</v>
      </c>
      <c r="S5" s="27">
        <v>1950</v>
      </c>
      <c r="T5" s="308">
        <v>3674</v>
      </c>
      <c r="U5" s="308">
        <v>2374</v>
      </c>
      <c r="V5" s="119">
        <v>0.96937416777629837</v>
      </c>
      <c r="W5" s="119">
        <v>0.61619190404797597</v>
      </c>
      <c r="X5" s="119">
        <v>0.3421230561189994</v>
      </c>
      <c r="Y5" s="119">
        <v>-0.20129870129870131</v>
      </c>
      <c r="Z5" s="119">
        <v>-0.13249370277078087</v>
      </c>
      <c r="AA5" s="119">
        <v>0.10801393728222997</v>
      </c>
      <c r="AB5" s="119">
        <v>0.12369337979094075</v>
      </c>
      <c r="AC5" s="119">
        <v>0.17819706498951793</v>
      </c>
      <c r="AD5" s="119">
        <v>0.18397932816537499</v>
      </c>
      <c r="AE5" s="119">
        <v>-5.4270462633451921E-2</v>
      </c>
      <c r="AF5" s="119">
        <v>-0.18640252138676272</v>
      </c>
      <c r="AG5" s="119">
        <v>-0.21739130434782605</v>
      </c>
      <c r="AH5" s="119">
        <v>4.4825677919203111E-2</v>
      </c>
      <c r="AI5" s="119">
        <v>0.44074074074074066</v>
      </c>
      <c r="AJ5" s="119">
        <v>0.24258474576271194</v>
      </c>
      <c r="AK5" s="119">
        <v>0.61691542288557222</v>
      </c>
      <c r="AL5" s="119">
        <v>0.50944946589975348</v>
      </c>
      <c r="AM5" s="119">
        <v>0.21743589743589742</v>
      </c>
      <c r="AN5" s="30"/>
    </row>
    <row r="6" spans="1:41" ht="15" customHeight="1" outlineLevel="2" x14ac:dyDescent="0.2">
      <c r="A6" s="133" t="s">
        <v>620</v>
      </c>
      <c r="B6" s="27">
        <v>794</v>
      </c>
      <c r="C6" s="27">
        <v>547</v>
      </c>
      <c r="D6" s="27">
        <v>1086</v>
      </c>
      <c r="E6" s="27">
        <v>606</v>
      </c>
      <c r="F6" s="27">
        <v>1145</v>
      </c>
      <c r="G6" s="27">
        <v>527</v>
      </c>
      <c r="H6" s="27">
        <v>1028</v>
      </c>
      <c r="I6" s="27">
        <v>489</v>
      </c>
      <c r="J6" s="27">
        <v>956</v>
      </c>
      <c r="K6" s="27">
        <v>469</v>
      </c>
      <c r="L6" s="27">
        <v>869</v>
      </c>
      <c r="M6" s="27">
        <v>372</v>
      </c>
      <c r="N6" s="27">
        <v>631</v>
      </c>
      <c r="O6" s="27">
        <v>347</v>
      </c>
      <c r="P6" s="27">
        <v>654</v>
      </c>
      <c r="Q6" s="27">
        <v>315</v>
      </c>
      <c r="R6" s="27">
        <v>654</v>
      </c>
      <c r="S6" s="27">
        <v>335</v>
      </c>
      <c r="T6" s="308">
        <v>596</v>
      </c>
      <c r="U6" s="308">
        <v>330</v>
      </c>
      <c r="V6" s="119">
        <v>0.36775818639798485</v>
      </c>
      <c r="W6" s="119">
        <v>0.10786106032906773</v>
      </c>
      <c r="X6" s="119">
        <v>5.4327808471454908E-2</v>
      </c>
      <c r="Y6" s="119">
        <v>-0.13036303630363033</v>
      </c>
      <c r="Z6" s="119">
        <v>-0.10218340611353716</v>
      </c>
      <c r="AA6" s="119">
        <v>-7.2106261859582577E-2</v>
      </c>
      <c r="AB6" s="119">
        <v>-7.0038910505836549E-2</v>
      </c>
      <c r="AC6" s="119">
        <v>-4.0899795501022518E-2</v>
      </c>
      <c r="AD6" s="119">
        <v>-5.6485355648535518E-2</v>
      </c>
      <c r="AE6" s="119">
        <v>-0.17057569296375263</v>
      </c>
      <c r="AF6" s="119">
        <v>-0.27387802071346379</v>
      </c>
      <c r="AG6" s="119">
        <v>-6.7204301075268869E-2</v>
      </c>
      <c r="AH6" s="119">
        <v>3.6450079239302768E-2</v>
      </c>
      <c r="AI6" s="119">
        <v>-0.13832853025936598</v>
      </c>
      <c r="AJ6" s="119">
        <v>-4.7400611620795119E-2</v>
      </c>
      <c r="AK6" s="119">
        <v>6.3492063492063489E-2</v>
      </c>
      <c r="AL6" s="119">
        <v>-8.8685015290519864E-2</v>
      </c>
      <c r="AM6" s="119">
        <v>-1.4925373134328401E-2</v>
      </c>
      <c r="AN6" s="30"/>
    </row>
    <row r="7" spans="1:41" ht="15" customHeight="1" outlineLevel="2" x14ac:dyDescent="0.2">
      <c r="A7" s="133" t="s">
        <v>621</v>
      </c>
      <c r="B7" s="27"/>
      <c r="C7" s="27"/>
      <c r="D7" s="27"/>
      <c r="E7" s="27"/>
      <c r="F7" s="27"/>
      <c r="G7" s="27"/>
      <c r="H7" s="27"/>
      <c r="I7" s="27"/>
      <c r="J7" s="27"/>
      <c r="K7" s="27"/>
      <c r="L7" s="27">
        <v>221</v>
      </c>
      <c r="M7" s="27">
        <v>103</v>
      </c>
      <c r="N7" s="27">
        <v>193</v>
      </c>
      <c r="O7" s="27">
        <v>88</v>
      </c>
      <c r="P7" s="27">
        <v>216</v>
      </c>
      <c r="Q7" s="27">
        <v>0</v>
      </c>
      <c r="R7" s="27">
        <v>0</v>
      </c>
      <c r="S7" s="27">
        <v>0</v>
      </c>
      <c r="T7" s="308">
        <v>0</v>
      </c>
      <c r="U7" s="308">
        <v>0</v>
      </c>
      <c r="V7" s="119"/>
      <c r="W7" s="119"/>
      <c r="X7" s="119"/>
      <c r="Y7" s="119"/>
      <c r="Z7" s="119"/>
      <c r="AA7" s="119"/>
      <c r="AB7" s="119"/>
      <c r="AC7" s="119"/>
      <c r="AD7" s="119"/>
      <c r="AE7" s="119"/>
      <c r="AF7" s="119">
        <v>-0.12669683257918551</v>
      </c>
      <c r="AG7" s="119">
        <v>-0.14563106796116509</v>
      </c>
      <c r="AH7" s="119">
        <v>0.11917098445595853</v>
      </c>
      <c r="AI7" s="119">
        <v>0.88636363636363646</v>
      </c>
      <c r="AJ7" s="119">
        <v>0.96296296296296302</v>
      </c>
      <c r="AK7" s="119"/>
      <c r="AL7" s="119"/>
      <c r="AM7" s="119"/>
      <c r="AN7" s="30"/>
    </row>
    <row r="8" spans="1:41" ht="15" customHeight="1" outlineLevel="2" x14ac:dyDescent="0.2">
      <c r="A8" s="133" t="s">
        <v>622</v>
      </c>
      <c r="B8" s="27">
        <v>134</v>
      </c>
      <c r="C8" s="27">
        <v>77</v>
      </c>
      <c r="D8" s="27">
        <v>161</v>
      </c>
      <c r="E8" s="27">
        <v>92</v>
      </c>
      <c r="F8" s="27">
        <v>194</v>
      </c>
      <c r="G8" s="27">
        <v>108</v>
      </c>
      <c r="H8" s="27">
        <v>518</v>
      </c>
      <c r="I8" s="27">
        <v>218</v>
      </c>
      <c r="J8" s="27">
        <v>450</v>
      </c>
      <c r="K8" s="27">
        <v>244</v>
      </c>
      <c r="L8" s="27">
        <v>481</v>
      </c>
      <c r="M8" s="27">
        <v>206</v>
      </c>
      <c r="N8" s="27">
        <v>326</v>
      </c>
      <c r="O8" s="27">
        <v>180</v>
      </c>
      <c r="P8" s="27">
        <v>424</v>
      </c>
      <c r="Q8" s="27">
        <v>196</v>
      </c>
      <c r="R8" s="27">
        <v>489</v>
      </c>
      <c r="S8" s="27">
        <v>289</v>
      </c>
      <c r="T8" s="308">
        <v>702</v>
      </c>
      <c r="U8" s="308">
        <v>352</v>
      </c>
      <c r="V8" s="119">
        <v>0.20149253731343286</v>
      </c>
      <c r="W8" s="119">
        <v>0.19480519480519476</v>
      </c>
      <c r="X8" s="119">
        <v>0.20496894409937894</v>
      </c>
      <c r="Y8" s="119">
        <v>0.17391304347826098</v>
      </c>
      <c r="Z8" s="119">
        <v>1.670103092783505</v>
      </c>
      <c r="AA8" s="119">
        <v>1.0185185185185186</v>
      </c>
      <c r="AB8" s="119">
        <v>-0.13127413127413123</v>
      </c>
      <c r="AC8" s="119">
        <v>0.11926605504587151</v>
      </c>
      <c r="AD8" s="119">
        <v>9.1111111111111143E-2</v>
      </c>
      <c r="AE8" s="119">
        <v>-0.13114754098360659</v>
      </c>
      <c r="AF8" s="119">
        <v>-0.32224532224532221</v>
      </c>
      <c r="AG8" s="119">
        <v>-0.12621359223300976</v>
      </c>
      <c r="AH8" s="119">
        <v>0.30061349693251538</v>
      </c>
      <c r="AI8" s="119">
        <v>5.5555555555555358E-3</v>
      </c>
      <c r="AJ8" s="119">
        <v>3.0660377358490587E-2</v>
      </c>
      <c r="AK8" s="119">
        <v>0.47448979591836737</v>
      </c>
      <c r="AL8" s="119">
        <v>0.4355828220858895</v>
      </c>
      <c r="AM8" s="119">
        <v>0.2179930795847751</v>
      </c>
      <c r="AN8" s="30"/>
    </row>
    <row r="9" spans="1:41" ht="15" customHeight="1" outlineLevel="1" x14ac:dyDescent="0.2">
      <c r="A9" s="120" t="s">
        <v>22</v>
      </c>
      <c r="B9" s="121">
        <v>8075</v>
      </c>
      <c r="C9" s="121">
        <v>5604</v>
      </c>
      <c r="D9" s="121">
        <v>12126</v>
      </c>
      <c r="E9" s="121">
        <v>6956</v>
      </c>
      <c r="F9" s="121">
        <v>13297</v>
      </c>
      <c r="G9" s="121">
        <v>5483</v>
      </c>
      <c r="H9" s="121">
        <v>11362</v>
      </c>
      <c r="I9" s="121">
        <v>5149</v>
      </c>
      <c r="J9" s="121">
        <v>10417</v>
      </c>
      <c r="K9" s="121">
        <v>5202</v>
      </c>
      <c r="L9" s="121">
        <v>10896</v>
      </c>
      <c r="M9" s="121">
        <v>4591</v>
      </c>
      <c r="N9" s="122">
        <v>7883</v>
      </c>
      <c r="O9" s="122">
        <v>3565</v>
      </c>
      <c r="P9" s="122">
        <v>7646</v>
      </c>
      <c r="Q9" s="122">
        <v>3896</v>
      </c>
      <c r="R9" s="122">
        <v>8415</v>
      </c>
      <c r="S9" s="427">
        <v>5473</v>
      </c>
      <c r="T9" s="122">
        <v>10962</v>
      </c>
      <c r="U9" s="122">
        <v>5940</v>
      </c>
      <c r="V9" s="119">
        <v>0.50167182662538701</v>
      </c>
      <c r="W9" s="119">
        <v>0.24125624553890068</v>
      </c>
      <c r="X9" s="119">
        <v>9.6569355104733523E-2</v>
      </c>
      <c r="Y9" s="119">
        <v>-0.21175963197239789</v>
      </c>
      <c r="Z9" s="119">
        <v>-0.14552154621343161</v>
      </c>
      <c r="AA9" s="119">
        <v>-6.091555717672803E-2</v>
      </c>
      <c r="AB9" s="119">
        <v>-8.3171976764654154E-2</v>
      </c>
      <c r="AC9" s="119">
        <v>1.0293260827345163E-2</v>
      </c>
      <c r="AD9" s="119">
        <v>4.5982528559086022E-2</v>
      </c>
      <c r="AE9" s="119">
        <v>-0.11745482506728178</v>
      </c>
      <c r="AF9" s="119">
        <v>-0.27652349486049932</v>
      </c>
      <c r="AG9" s="119">
        <v>-0.22348072315399692</v>
      </c>
      <c r="AH9" s="119">
        <v>-3.0064696181656747E-2</v>
      </c>
      <c r="AI9" s="119">
        <v>9.284712482468449E-2</v>
      </c>
      <c r="AJ9" s="119">
        <v>0.10057546429505626</v>
      </c>
      <c r="AK9" s="119">
        <v>0.40477412731006157</v>
      </c>
      <c r="AL9" s="119">
        <v>0.30267379679144391</v>
      </c>
      <c r="AM9" s="119">
        <v>8.5327973689018899E-2</v>
      </c>
      <c r="AN9" s="30"/>
    </row>
    <row r="10" spans="1:41" ht="15" customHeight="1" outlineLevel="1" thickBot="1" x14ac:dyDescent="0.25">
      <c r="A10" s="120" t="s">
        <v>26</v>
      </c>
      <c r="B10" s="123">
        <v>467</v>
      </c>
      <c r="C10" s="123">
        <v>300</v>
      </c>
      <c r="D10" s="123">
        <v>649</v>
      </c>
      <c r="E10" s="123">
        <v>379</v>
      </c>
      <c r="F10" s="123">
        <v>825</v>
      </c>
      <c r="G10" s="123">
        <v>446</v>
      </c>
      <c r="H10" s="123">
        <v>1004</v>
      </c>
      <c r="I10" s="123">
        <v>537</v>
      </c>
      <c r="J10" s="123">
        <v>1082</v>
      </c>
      <c r="K10" s="123">
        <v>506</v>
      </c>
      <c r="L10" s="123">
        <v>973</v>
      </c>
      <c r="M10" s="123">
        <v>316</v>
      </c>
      <c r="N10" s="124">
        <v>659</v>
      </c>
      <c r="O10" s="124">
        <v>278</v>
      </c>
      <c r="P10" s="124">
        <v>613</v>
      </c>
      <c r="Q10" s="124">
        <v>352</v>
      </c>
      <c r="R10" s="124">
        <v>731</v>
      </c>
      <c r="S10" s="124">
        <v>361</v>
      </c>
      <c r="T10" s="124">
        <v>708</v>
      </c>
      <c r="U10" s="124">
        <v>352</v>
      </c>
      <c r="V10" s="119">
        <v>0.38972162740899363</v>
      </c>
      <c r="W10" s="119">
        <v>0.26333333333333342</v>
      </c>
      <c r="X10" s="119">
        <v>0.27118644067796605</v>
      </c>
      <c r="Y10" s="119">
        <v>0.17678100263852237</v>
      </c>
      <c r="Z10" s="119">
        <v>0.21696969696969703</v>
      </c>
      <c r="AA10" s="119">
        <v>0.20403587443946192</v>
      </c>
      <c r="AB10" s="119">
        <v>7.7689243027888377E-2</v>
      </c>
      <c r="AC10" s="119">
        <v>-5.7728119180633142E-2</v>
      </c>
      <c r="AD10" s="119">
        <v>-0.10073937153419599</v>
      </c>
      <c r="AE10" s="119">
        <v>-0.37549407114624511</v>
      </c>
      <c r="AF10" s="119">
        <v>-0.32271325796505657</v>
      </c>
      <c r="AG10" s="119">
        <v>-0.120253164556962</v>
      </c>
      <c r="AH10" s="119">
        <v>-6.9802731411229169E-2</v>
      </c>
      <c r="AI10" s="119">
        <v>0.26618705035971213</v>
      </c>
      <c r="AJ10" s="119">
        <v>0.19249592169657426</v>
      </c>
      <c r="AK10" s="119">
        <v>2.5568181818181879E-2</v>
      </c>
      <c r="AL10" s="119">
        <v>-3.1463748290013638E-2</v>
      </c>
      <c r="AM10" s="119">
        <v>-2.4930747922437657E-2</v>
      </c>
      <c r="AN10" s="30"/>
    </row>
    <row r="11" spans="1:41" ht="15" customHeight="1" thickTop="1" x14ac:dyDescent="0.2">
      <c r="A11" s="120" t="s">
        <v>21</v>
      </c>
      <c r="B11" s="125">
        <v>8542</v>
      </c>
      <c r="C11" s="125">
        <v>5904</v>
      </c>
      <c r="D11" s="125">
        <v>12775</v>
      </c>
      <c r="E11" s="125">
        <v>7335</v>
      </c>
      <c r="F11" s="125">
        <v>14122</v>
      </c>
      <c r="G11" s="125">
        <v>5929</v>
      </c>
      <c r="H11" s="125">
        <v>12366</v>
      </c>
      <c r="I11" s="125">
        <v>5686</v>
      </c>
      <c r="J11" s="125">
        <v>11499</v>
      </c>
      <c r="K11" s="125">
        <v>5708</v>
      </c>
      <c r="L11" s="125">
        <v>11869</v>
      </c>
      <c r="M11" s="125">
        <v>4907</v>
      </c>
      <c r="N11" s="126">
        <v>8542</v>
      </c>
      <c r="O11" s="126">
        <v>3843</v>
      </c>
      <c r="P11" s="126">
        <v>8259</v>
      </c>
      <c r="Q11" s="126">
        <v>4248</v>
      </c>
      <c r="R11" s="126">
        <v>9146</v>
      </c>
      <c r="S11" s="126">
        <v>5834</v>
      </c>
      <c r="T11" s="126">
        <v>11670</v>
      </c>
      <c r="U11" s="126">
        <v>6292</v>
      </c>
      <c r="V11" s="119">
        <v>0.4955513931163662</v>
      </c>
      <c r="W11" s="119">
        <v>0.24237804878048785</v>
      </c>
      <c r="X11" s="119">
        <v>0.105440313111546</v>
      </c>
      <c r="Y11" s="119">
        <v>-0.19168370824812542</v>
      </c>
      <c r="Z11" s="119">
        <v>-0.12434499362696505</v>
      </c>
      <c r="AA11" s="119">
        <v>-4.0984989036937036E-2</v>
      </c>
      <c r="AB11" s="119">
        <v>-7.011159631246966E-2</v>
      </c>
      <c r="AC11" s="119">
        <v>3.8691523039042774E-3</v>
      </c>
      <c r="AD11" s="119">
        <v>3.2176711018349513E-2</v>
      </c>
      <c r="AE11" s="119">
        <v>-0.14032936229852833</v>
      </c>
      <c r="AF11" s="119">
        <v>-0.28031005139438869</v>
      </c>
      <c r="AG11" s="119">
        <v>-0.2168330955777461</v>
      </c>
      <c r="AH11" s="119">
        <v>-3.3130414422851806E-2</v>
      </c>
      <c r="AI11" s="119">
        <v>0.10538641686182659</v>
      </c>
      <c r="AJ11" s="119">
        <v>0.10739799007143724</v>
      </c>
      <c r="AK11" s="119">
        <v>0.37335216572504715</v>
      </c>
      <c r="AL11" s="119">
        <v>0.27596763612508202</v>
      </c>
      <c r="AM11" s="119">
        <v>7.8505313678436828E-2</v>
      </c>
      <c r="AN11" s="30"/>
    </row>
    <row r="12" spans="1:41" ht="15" customHeight="1" x14ac:dyDescent="0.2">
      <c r="A12" s="118" t="s">
        <v>338</v>
      </c>
      <c r="B12" s="27">
        <v>-3666</v>
      </c>
      <c r="C12" s="27">
        <v>-2224</v>
      </c>
      <c r="D12" s="27">
        <v>-4223</v>
      </c>
      <c r="E12" s="27">
        <v>-2715</v>
      </c>
      <c r="F12" s="27">
        <v>-4967</v>
      </c>
      <c r="G12" s="27">
        <v>-2599</v>
      </c>
      <c r="H12" s="27">
        <v>-5420</v>
      </c>
      <c r="I12" s="27">
        <v>-2703</v>
      </c>
      <c r="J12" s="27">
        <v>-5545</v>
      </c>
      <c r="K12" s="27">
        <v>-2519</v>
      </c>
      <c r="L12" s="27">
        <v>-4805</v>
      </c>
      <c r="M12" s="27">
        <v>-1765</v>
      </c>
      <c r="N12" s="28">
        <v>-3165</v>
      </c>
      <c r="O12" s="28">
        <v>-1631</v>
      </c>
      <c r="P12" s="308">
        <v>-3633</v>
      </c>
      <c r="Q12" s="308">
        <v>-1906</v>
      </c>
      <c r="R12" s="308">
        <v>-3968</v>
      </c>
      <c r="S12" s="308">
        <v>-2195</v>
      </c>
      <c r="T12" s="308">
        <v>-4536</v>
      </c>
      <c r="U12" s="308">
        <v>-2181</v>
      </c>
      <c r="V12" s="119">
        <v>0.15193671576650303</v>
      </c>
      <c r="W12" s="119">
        <v>0.22077338129496393</v>
      </c>
      <c r="X12" s="119">
        <v>0.17617807246033634</v>
      </c>
      <c r="Y12" s="119">
        <v>-4.2725598526703545E-2</v>
      </c>
      <c r="Z12" s="119">
        <v>9.1201932756190818E-2</v>
      </c>
      <c r="AA12" s="119">
        <v>4.001539053482106E-2</v>
      </c>
      <c r="AB12" s="119">
        <v>2.3062730627306349E-2</v>
      </c>
      <c r="AC12" s="119">
        <v>-6.8072512023677367E-2</v>
      </c>
      <c r="AD12" s="119">
        <v>-0.13345356176735801</v>
      </c>
      <c r="AE12" s="119">
        <v>-0.29932512901945219</v>
      </c>
      <c r="AF12" s="119">
        <v>-0.33839750260145685</v>
      </c>
      <c r="AG12" s="119">
        <v>-7.5920679886685605E-2</v>
      </c>
      <c r="AH12" s="119">
        <v>0.14281220509594217</v>
      </c>
      <c r="AI12" s="119">
        <v>0.16860821581851626</v>
      </c>
      <c r="AJ12" s="119">
        <v>9.2210294522433234E-2</v>
      </c>
      <c r="AK12" s="119">
        <v>0.16054564533053517</v>
      </c>
      <c r="AL12" s="119">
        <v>0.14314516129032251</v>
      </c>
      <c r="AM12" s="119">
        <v>-6.3781321184510631E-3</v>
      </c>
      <c r="AN12" s="30"/>
    </row>
    <row r="13" spans="1:41" ht="15" customHeight="1" x14ac:dyDescent="0.2">
      <c r="A13" s="118" t="s">
        <v>28</v>
      </c>
      <c r="B13" s="127">
        <v>-511</v>
      </c>
      <c r="C13" s="127">
        <v>-297</v>
      </c>
      <c r="D13" s="127">
        <v>-660</v>
      </c>
      <c r="E13" s="127">
        <v>-403</v>
      </c>
      <c r="F13" s="127">
        <v>-826</v>
      </c>
      <c r="G13" s="127">
        <v>-455</v>
      </c>
      <c r="H13" s="127">
        <v>-947</v>
      </c>
      <c r="I13" s="127">
        <v>-510</v>
      </c>
      <c r="J13" s="127">
        <v>-961</v>
      </c>
      <c r="K13" s="127">
        <v>-465</v>
      </c>
      <c r="L13" s="127">
        <v>-869</v>
      </c>
      <c r="M13" s="127">
        <v>-317</v>
      </c>
      <c r="N13" s="128">
        <v>-616</v>
      </c>
      <c r="O13" s="128">
        <v>-253</v>
      </c>
      <c r="P13" s="128">
        <v>-508</v>
      </c>
      <c r="Q13" s="128">
        <v>-309</v>
      </c>
      <c r="R13" s="128">
        <v>-632</v>
      </c>
      <c r="S13" s="128">
        <v>-334</v>
      </c>
      <c r="T13" s="128">
        <v>-622</v>
      </c>
      <c r="U13" s="128">
        <v>-355</v>
      </c>
      <c r="V13" s="119">
        <v>0.29158512720156549</v>
      </c>
      <c r="W13" s="119">
        <v>0.35690235690235683</v>
      </c>
      <c r="X13" s="119">
        <v>0.25151515151515147</v>
      </c>
      <c r="Y13" s="119">
        <v>0.12903225806451624</v>
      </c>
      <c r="Z13" s="119">
        <v>0.14648910411622285</v>
      </c>
      <c r="AA13" s="119">
        <v>0.12087912087912089</v>
      </c>
      <c r="AB13" s="119">
        <v>1.4783526927138357E-2</v>
      </c>
      <c r="AC13" s="119">
        <v>-8.8235294117647078E-2</v>
      </c>
      <c r="AD13" s="119">
        <v>-9.5733610822060333E-2</v>
      </c>
      <c r="AE13" s="119">
        <v>-0.31827956989247308</v>
      </c>
      <c r="AF13" s="119">
        <v>-0.31875719217491372</v>
      </c>
      <c r="AG13" s="119">
        <v>-0.20189274447949523</v>
      </c>
      <c r="AH13" s="119">
        <v>-0.14189189189189189</v>
      </c>
      <c r="AI13" s="119">
        <v>0.22134387351778662</v>
      </c>
      <c r="AJ13" s="119">
        <v>0.24409448818897639</v>
      </c>
      <c r="AK13" s="119">
        <v>8.0906148867313954E-2</v>
      </c>
      <c r="AL13" s="119">
        <v>-1.5822784810126556E-2</v>
      </c>
      <c r="AM13" s="119">
        <v>6.2874251497005984E-2</v>
      </c>
      <c r="AN13" s="30"/>
    </row>
    <row r="14" spans="1:41" ht="15" customHeight="1" x14ac:dyDescent="0.2">
      <c r="A14" s="120" t="s">
        <v>29</v>
      </c>
      <c r="B14" s="125">
        <v>4365</v>
      </c>
      <c r="C14" s="125">
        <v>3383</v>
      </c>
      <c r="D14" s="125">
        <v>7892</v>
      </c>
      <c r="E14" s="125">
        <v>4217</v>
      </c>
      <c r="F14" s="125">
        <v>8329</v>
      </c>
      <c r="G14" s="125">
        <v>2875</v>
      </c>
      <c r="H14" s="125">
        <v>5999</v>
      </c>
      <c r="I14" s="125">
        <v>2473</v>
      </c>
      <c r="J14" s="125">
        <v>4993</v>
      </c>
      <c r="K14" s="125">
        <v>2724</v>
      </c>
      <c r="L14" s="125">
        <v>6195</v>
      </c>
      <c r="M14" s="125">
        <v>2825</v>
      </c>
      <c r="N14" s="126">
        <v>4761</v>
      </c>
      <c r="O14" s="126">
        <v>1959</v>
      </c>
      <c r="P14" s="126">
        <v>4118</v>
      </c>
      <c r="Q14" s="126">
        <v>2033</v>
      </c>
      <c r="R14" s="126">
        <v>4546</v>
      </c>
      <c r="S14" s="126">
        <v>3305</v>
      </c>
      <c r="T14" s="126">
        <v>6512</v>
      </c>
      <c r="U14" s="126">
        <v>3756</v>
      </c>
      <c r="V14" s="119">
        <v>0.80801832760595649</v>
      </c>
      <c r="W14" s="119">
        <v>0.2465267514040792</v>
      </c>
      <c r="X14" s="119">
        <v>5.5372529143436378E-2</v>
      </c>
      <c r="Y14" s="119">
        <v>-0.31823571259188999</v>
      </c>
      <c r="Z14" s="119">
        <v>-0.27974546764317443</v>
      </c>
      <c r="AA14" s="119">
        <v>-0.13982608695652177</v>
      </c>
      <c r="AB14" s="119">
        <v>-0.1676946157692949</v>
      </c>
      <c r="AC14" s="119">
        <v>0.10149615851192872</v>
      </c>
      <c r="AD14" s="119">
        <v>0.24073703184458251</v>
      </c>
      <c r="AE14" s="119">
        <v>3.7077826725403717E-2</v>
      </c>
      <c r="AF14" s="119">
        <v>-0.22986279257465703</v>
      </c>
      <c r="AG14" s="119">
        <v>-0.30654867256637164</v>
      </c>
      <c r="AH14" s="119">
        <v>-0.13686858101027033</v>
      </c>
      <c r="AI14" s="119">
        <v>3.7774374680959566E-2</v>
      </c>
      <c r="AJ14" s="119">
        <v>0.1039339485186983</v>
      </c>
      <c r="AK14" s="119">
        <v>0.61731431382193813</v>
      </c>
      <c r="AL14" s="119">
        <v>0.43246810382754064</v>
      </c>
      <c r="AM14" s="119">
        <v>0.13645990922844176</v>
      </c>
      <c r="AN14" s="30"/>
    </row>
    <row r="15" spans="1:41" ht="15" customHeight="1" outlineLevel="1" x14ac:dyDescent="0.2">
      <c r="A15" s="118" t="s">
        <v>30</v>
      </c>
      <c r="B15" s="129">
        <v>-104</v>
      </c>
      <c r="C15" s="129">
        <v>-125</v>
      </c>
      <c r="D15" s="129">
        <v>-343</v>
      </c>
      <c r="E15" s="129">
        <v>-385</v>
      </c>
      <c r="F15" s="129">
        <v>-828</v>
      </c>
      <c r="G15" s="129">
        <v>-313</v>
      </c>
      <c r="H15" s="129">
        <v>-578</v>
      </c>
      <c r="I15" s="129">
        <v>-189</v>
      </c>
      <c r="J15" s="129">
        <v>-445</v>
      </c>
      <c r="K15" s="130">
        <v>-202</v>
      </c>
      <c r="L15" s="130">
        <v>-335</v>
      </c>
      <c r="M15" s="130">
        <v>-42</v>
      </c>
      <c r="N15" s="28">
        <v>-129</v>
      </c>
      <c r="O15" s="28">
        <v>-72</v>
      </c>
      <c r="P15" s="308">
        <v>-111</v>
      </c>
      <c r="Q15" s="308">
        <v>-28</v>
      </c>
      <c r="R15" s="308">
        <v>-75</v>
      </c>
      <c r="S15" s="308">
        <v>-35</v>
      </c>
      <c r="T15" s="308">
        <v>-92</v>
      </c>
      <c r="U15" s="308">
        <v>-55</v>
      </c>
      <c r="V15" s="119">
        <v>2.2980769230769229</v>
      </c>
      <c r="W15" s="119">
        <v>2.08</v>
      </c>
      <c r="X15" s="119">
        <v>1.4139941690962101</v>
      </c>
      <c r="Y15" s="119">
        <v>-0.18701298701298696</v>
      </c>
      <c r="Z15" s="119">
        <v>-0.30193236714975846</v>
      </c>
      <c r="AA15" s="119">
        <v>-0.39616613418530355</v>
      </c>
      <c r="AB15" s="119">
        <v>-0.23010380622837368</v>
      </c>
      <c r="AC15" s="119">
        <v>6.8783068783068835E-2</v>
      </c>
      <c r="AD15" s="119">
        <v>-0.2471910112359551</v>
      </c>
      <c r="AE15" s="119">
        <v>-0.79207920792079212</v>
      </c>
      <c r="AF15" s="119">
        <v>-0.58507462686567169</v>
      </c>
      <c r="AG15" s="119">
        <v>0.71428571428571419</v>
      </c>
      <c r="AH15" s="119">
        <v>-0.20143884892086328</v>
      </c>
      <c r="AI15" s="119">
        <v>-0.61111111111111116</v>
      </c>
      <c r="AJ15" s="119">
        <v>-0.32432432432432434</v>
      </c>
      <c r="AK15" s="119">
        <v>0.25</v>
      </c>
      <c r="AL15" s="119">
        <v>0.22666666666666657</v>
      </c>
      <c r="AM15" s="119">
        <v>0.5714285714285714</v>
      </c>
      <c r="AN15" s="30"/>
    </row>
    <row r="16" spans="1:41" ht="15" customHeight="1" outlineLevel="1" x14ac:dyDescent="0.2">
      <c r="A16" s="118" t="s">
        <v>31</v>
      </c>
      <c r="B16" s="129">
        <v>-636</v>
      </c>
      <c r="C16" s="129">
        <v>-302</v>
      </c>
      <c r="D16" s="129">
        <v>-755</v>
      </c>
      <c r="E16" s="129">
        <v>-368</v>
      </c>
      <c r="F16" s="129">
        <v>-848</v>
      </c>
      <c r="G16" s="129">
        <v>-363</v>
      </c>
      <c r="H16" s="129">
        <v>-1043</v>
      </c>
      <c r="I16" s="129">
        <v>-402</v>
      </c>
      <c r="J16" s="129">
        <v>-964</v>
      </c>
      <c r="K16" s="130">
        <v>-393</v>
      </c>
      <c r="L16" s="130">
        <v>-812</v>
      </c>
      <c r="M16" s="130">
        <v>-262</v>
      </c>
      <c r="N16" s="28">
        <v>-554</v>
      </c>
      <c r="O16" s="28">
        <v>-265</v>
      </c>
      <c r="P16" s="308">
        <v>-581</v>
      </c>
      <c r="Q16" s="308">
        <v>-353</v>
      </c>
      <c r="R16" s="308">
        <v>-759</v>
      </c>
      <c r="S16" s="308">
        <v>-461</v>
      </c>
      <c r="T16" s="308">
        <v>-859</v>
      </c>
      <c r="U16" s="308">
        <v>-443</v>
      </c>
      <c r="V16" s="119">
        <v>0.18710691823899372</v>
      </c>
      <c r="W16" s="119">
        <v>0.2185430463576159</v>
      </c>
      <c r="X16" s="119">
        <v>0.12317880794701996</v>
      </c>
      <c r="Y16" s="119">
        <v>-1.3586956521739135E-2</v>
      </c>
      <c r="Z16" s="119">
        <v>0.22995283018867929</v>
      </c>
      <c r="AA16" s="119">
        <v>0.10743801652892571</v>
      </c>
      <c r="AB16" s="119">
        <v>-7.5743048897411347E-2</v>
      </c>
      <c r="AC16" s="119">
        <v>-2.2388059701492491E-2</v>
      </c>
      <c r="AD16" s="119">
        <v>-0.15767634854771784</v>
      </c>
      <c r="AE16" s="119">
        <v>-0.33333333333333337</v>
      </c>
      <c r="AF16" s="119">
        <v>-0.31773399014778325</v>
      </c>
      <c r="AG16" s="119">
        <v>1.1450381679389388E-2</v>
      </c>
      <c r="AH16" s="119">
        <v>4.8736462093862842E-2</v>
      </c>
      <c r="AI16" s="119">
        <v>0.33207547169811313</v>
      </c>
      <c r="AJ16" s="119">
        <v>0.30636833046471601</v>
      </c>
      <c r="AK16" s="119">
        <v>0.25779036827195467</v>
      </c>
      <c r="AL16" s="119">
        <v>0.13175230566534912</v>
      </c>
      <c r="AM16" s="119">
        <v>-3.9045553145336198E-2</v>
      </c>
      <c r="AN16" s="30"/>
    </row>
    <row r="17" spans="1:40" ht="15" customHeight="1" outlineLevel="1" x14ac:dyDescent="0.2">
      <c r="A17" s="133" t="s">
        <v>59</v>
      </c>
      <c r="B17" s="27">
        <v>30</v>
      </c>
      <c r="C17" s="27">
        <v>0</v>
      </c>
      <c r="D17" s="129">
        <v>-15</v>
      </c>
      <c r="E17" s="129">
        <v>3</v>
      </c>
      <c r="F17" s="129">
        <v>-243</v>
      </c>
      <c r="G17" s="129">
        <v>-16</v>
      </c>
      <c r="H17" s="129">
        <v>-279</v>
      </c>
      <c r="I17" s="129">
        <v>-65</v>
      </c>
      <c r="J17" s="129">
        <v>-841</v>
      </c>
      <c r="K17" s="130">
        <v>-22</v>
      </c>
      <c r="L17" s="130">
        <v>-130</v>
      </c>
      <c r="M17" s="130">
        <v>-2</v>
      </c>
      <c r="N17" s="28">
        <v>-284</v>
      </c>
      <c r="O17" s="28">
        <v>-3</v>
      </c>
      <c r="P17" s="308">
        <v>-61</v>
      </c>
      <c r="Q17" s="308">
        <v>-25</v>
      </c>
      <c r="R17" s="308">
        <v>-227</v>
      </c>
      <c r="S17" s="308">
        <v>-6</v>
      </c>
      <c r="T17" s="308">
        <v>-50</v>
      </c>
      <c r="U17" s="308">
        <v>-5</v>
      </c>
      <c r="V17" s="119">
        <v>-1.5</v>
      </c>
      <c r="W17" s="119"/>
      <c r="X17" s="119">
        <v>15.2</v>
      </c>
      <c r="Y17" s="119">
        <v>-6.333333333333333</v>
      </c>
      <c r="Z17" s="119">
        <v>0.14814814814814814</v>
      </c>
      <c r="AA17" s="119">
        <v>3.0625</v>
      </c>
      <c r="AB17" s="119">
        <v>2.0143369175627241</v>
      </c>
      <c r="AC17" s="119">
        <v>-0.66153846153846152</v>
      </c>
      <c r="AD17" s="119">
        <v>-0.84542211652794297</v>
      </c>
      <c r="AE17" s="119">
        <v>-0.90909090909090906</v>
      </c>
      <c r="AF17" s="119">
        <v>1.1846153846153844</v>
      </c>
      <c r="AG17" s="119">
        <v>0.5</v>
      </c>
      <c r="AH17" s="119">
        <v>-0.78521126760563376</v>
      </c>
      <c r="AI17" s="119">
        <v>7.3333333333333339</v>
      </c>
      <c r="AJ17" s="119">
        <v>2.721311475409836</v>
      </c>
      <c r="AK17" s="119">
        <v>-0.76</v>
      </c>
      <c r="AL17" s="119">
        <v>-0.77973568281938332</v>
      </c>
      <c r="AM17" s="119">
        <v>-0.16666666666666663</v>
      </c>
      <c r="AN17" s="30"/>
    </row>
    <row r="18" spans="1:40" ht="15" customHeight="1" outlineLevel="1" x14ac:dyDescent="0.2">
      <c r="A18" s="118" t="s">
        <v>589</v>
      </c>
      <c r="B18" s="131">
        <v>-90</v>
      </c>
      <c r="C18" s="131">
        <v>-51</v>
      </c>
      <c r="D18" s="131">
        <v>-227</v>
      </c>
      <c r="E18" s="131">
        <v>-83</v>
      </c>
      <c r="F18" s="131">
        <v>-175</v>
      </c>
      <c r="G18" s="131">
        <v>-73</v>
      </c>
      <c r="H18" s="131">
        <v>-235</v>
      </c>
      <c r="I18" s="131">
        <v>-22</v>
      </c>
      <c r="J18" s="131">
        <v>-267</v>
      </c>
      <c r="K18" s="132">
        <v>-78</v>
      </c>
      <c r="L18" s="132">
        <v>-172</v>
      </c>
      <c r="M18" s="132">
        <v>-93</v>
      </c>
      <c r="N18" s="128">
        <v>-288</v>
      </c>
      <c r="O18" s="128">
        <v>-83</v>
      </c>
      <c r="P18" s="128">
        <v>-84</v>
      </c>
      <c r="Q18" s="128">
        <v>-215</v>
      </c>
      <c r="R18" s="128">
        <v>-362</v>
      </c>
      <c r="S18" s="128">
        <v>-80</v>
      </c>
      <c r="T18" s="128">
        <v>-95</v>
      </c>
      <c r="U18" s="128">
        <v>18</v>
      </c>
      <c r="V18" s="119">
        <v>1.5222222222222221</v>
      </c>
      <c r="W18" s="119">
        <v>0.62745098039215685</v>
      </c>
      <c r="X18" s="119">
        <v>-0.22907488986784141</v>
      </c>
      <c r="Y18" s="119">
        <v>-0.12048192771084343</v>
      </c>
      <c r="Z18" s="119">
        <v>0.34285714285714275</v>
      </c>
      <c r="AA18" s="119">
        <v>-0.69863013698630139</v>
      </c>
      <c r="AB18" s="119">
        <v>0.13617021276595742</v>
      </c>
      <c r="AC18" s="119">
        <v>2.5454545454545454</v>
      </c>
      <c r="AD18" s="119">
        <v>-0.35580524344569286</v>
      </c>
      <c r="AE18" s="119">
        <v>0.19230769230769229</v>
      </c>
      <c r="AF18" s="119">
        <v>0.67441860465116288</v>
      </c>
      <c r="AG18" s="119">
        <v>-0.10752688172043012</v>
      </c>
      <c r="AH18" s="119">
        <v>-0.70833333333333326</v>
      </c>
      <c r="AI18" s="119">
        <v>1.5903614457831323</v>
      </c>
      <c r="AJ18" s="119">
        <v>3.3095238095238093</v>
      </c>
      <c r="AK18" s="119">
        <v>-0.62790697674418605</v>
      </c>
      <c r="AL18" s="119">
        <v>-0.73756906077348061</v>
      </c>
      <c r="AM18" s="119">
        <v>-1.2250000000000001</v>
      </c>
      <c r="AN18" s="30"/>
    </row>
    <row r="19" spans="1:40" ht="15" customHeight="1" x14ac:dyDescent="0.2">
      <c r="A19" s="120" t="s">
        <v>32</v>
      </c>
      <c r="B19" s="125">
        <v>3565</v>
      </c>
      <c r="C19" s="125">
        <v>2905</v>
      </c>
      <c r="D19" s="125">
        <v>6552</v>
      </c>
      <c r="E19" s="125">
        <v>3384</v>
      </c>
      <c r="F19" s="125">
        <v>6235</v>
      </c>
      <c r="G19" s="125">
        <v>2110</v>
      </c>
      <c r="H19" s="125">
        <v>3864</v>
      </c>
      <c r="I19" s="125">
        <v>1795</v>
      </c>
      <c r="J19" s="125">
        <v>2476</v>
      </c>
      <c r="K19" s="125">
        <v>2029</v>
      </c>
      <c r="L19" s="125">
        <v>4746</v>
      </c>
      <c r="M19" s="125">
        <v>2426</v>
      </c>
      <c r="N19" s="126">
        <v>3506</v>
      </c>
      <c r="O19" s="126">
        <v>1536</v>
      </c>
      <c r="P19" s="126">
        <v>3281</v>
      </c>
      <c r="Q19" s="126">
        <v>1412</v>
      </c>
      <c r="R19" s="126">
        <v>3123</v>
      </c>
      <c r="S19" s="126">
        <v>2723</v>
      </c>
      <c r="T19" s="126">
        <v>5416</v>
      </c>
      <c r="U19" s="126">
        <v>3271</v>
      </c>
      <c r="V19" s="119">
        <v>0.83786816269284703</v>
      </c>
      <c r="W19" s="119">
        <v>0.16488812392426855</v>
      </c>
      <c r="X19" s="119">
        <v>-4.8382173382173432E-2</v>
      </c>
      <c r="Y19" s="119">
        <v>-0.37647754137115841</v>
      </c>
      <c r="Z19" s="119">
        <v>-0.38027265437048918</v>
      </c>
      <c r="AA19" s="119">
        <v>-0.14928909952606639</v>
      </c>
      <c r="AB19" s="119">
        <v>-0.35921325051759834</v>
      </c>
      <c r="AC19" s="119">
        <v>0.13036211699164335</v>
      </c>
      <c r="AD19" s="119">
        <v>0.91680129240710828</v>
      </c>
      <c r="AE19" s="119">
        <v>0.19566288812222776</v>
      </c>
      <c r="AF19" s="119">
        <v>-0.26127265065318162</v>
      </c>
      <c r="AG19" s="119">
        <v>-0.36685902720527619</v>
      </c>
      <c r="AH19" s="119">
        <v>-6.4175698802053649E-2</v>
      </c>
      <c r="AI19" s="119">
        <v>-8.072916666666663E-2</v>
      </c>
      <c r="AJ19" s="119">
        <v>-4.8156049984760751E-2</v>
      </c>
      <c r="AK19" s="119">
        <v>0.92847025495750701</v>
      </c>
      <c r="AL19" s="119">
        <v>0.73422990714057002</v>
      </c>
      <c r="AM19" s="119">
        <v>0.20124862284245326</v>
      </c>
      <c r="AN19" s="30"/>
    </row>
    <row r="20" spans="1:40" ht="15" customHeight="1" x14ac:dyDescent="0.2">
      <c r="A20" s="133" t="s">
        <v>623</v>
      </c>
      <c r="B20" s="129">
        <v>-174</v>
      </c>
      <c r="C20" s="129">
        <v>-52</v>
      </c>
      <c r="D20" s="129">
        <v>-138</v>
      </c>
      <c r="E20" s="129">
        <v>-62</v>
      </c>
      <c r="F20" s="129">
        <v>-151</v>
      </c>
      <c r="G20" s="129">
        <v>-136</v>
      </c>
      <c r="H20" s="129">
        <v>-294</v>
      </c>
      <c r="I20" s="129">
        <v>-171</v>
      </c>
      <c r="J20" s="129">
        <v>-376</v>
      </c>
      <c r="K20" s="130">
        <v>-94</v>
      </c>
      <c r="L20" s="130">
        <v>-179</v>
      </c>
      <c r="M20" s="130">
        <v>-128</v>
      </c>
      <c r="N20" s="28">
        <v>-326</v>
      </c>
      <c r="O20" s="28">
        <v>-226</v>
      </c>
      <c r="P20" s="308">
        <v>-453</v>
      </c>
      <c r="Q20" s="308">
        <v>-265</v>
      </c>
      <c r="R20" s="308">
        <v>-535</v>
      </c>
      <c r="S20" s="308">
        <v>-246</v>
      </c>
      <c r="T20" s="308">
        <v>-580</v>
      </c>
      <c r="U20" s="308">
        <v>-89</v>
      </c>
      <c r="V20" s="119"/>
      <c r="W20" s="119"/>
      <c r="X20" s="119"/>
      <c r="Y20" s="119"/>
      <c r="Z20" s="119"/>
      <c r="AA20" s="119"/>
      <c r="AB20" s="119"/>
      <c r="AC20" s="119"/>
      <c r="AD20" s="119"/>
      <c r="AE20" s="119"/>
      <c r="AF20" s="119"/>
      <c r="AG20" s="119"/>
      <c r="AH20" s="119"/>
      <c r="AI20" s="119"/>
      <c r="AJ20" s="119"/>
      <c r="AK20" s="119"/>
      <c r="AL20" s="119"/>
      <c r="AM20" s="119"/>
      <c r="AN20" s="30"/>
    </row>
    <row r="21" spans="1:40" ht="25.5" x14ac:dyDescent="0.2">
      <c r="A21" s="118" t="s">
        <v>474</v>
      </c>
      <c r="B21" s="27">
        <v>0</v>
      </c>
      <c r="C21" s="27">
        <v>0</v>
      </c>
      <c r="D21" s="27">
        <v>0</v>
      </c>
      <c r="E21" s="27">
        <v>0</v>
      </c>
      <c r="F21" s="27">
        <v>0</v>
      </c>
      <c r="G21" s="28">
        <v>0</v>
      </c>
      <c r="H21" s="28">
        <v>0</v>
      </c>
      <c r="I21" s="27">
        <v>-571</v>
      </c>
      <c r="J21" s="27">
        <v>0</v>
      </c>
      <c r="K21" s="27">
        <v>-49</v>
      </c>
      <c r="L21" s="27">
        <v>0</v>
      </c>
      <c r="M21" s="27">
        <v>0</v>
      </c>
      <c r="N21" s="28">
        <v>0</v>
      </c>
      <c r="O21" s="28">
        <v>0</v>
      </c>
      <c r="P21" s="308">
        <v>-153</v>
      </c>
      <c r="Q21" s="308">
        <v>0</v>
      </c>
      <c r="R21" s="308">
        <v>0</v>
      </c>
      <c r="S21" s="308">
        <v>0</v>
      </c>
      <c r="T21" s="308">
        <v>0</v>
      </c>
      <c r="U21" s="308">
        <v>0</v>
      </c>
      <c r="V21" s="119"/>
      <c r="W21" s="119"/>
      <c r="X21" s="119"/>
      <c r="Y21" s="119"/>
      <c r="Z21" s="119"/>
      <c r="AA21" s="119"/>
      <c r="AB21" s="119"/>
      <c r="AC21" s="119"/>
      <c r="AD21" s="119"/>
      <c r="AE21" s="119"/>
      <c r="AF21" s="119"/>
      <c r="AG21" s="119"/>
      <c r="AH21" s="119"/>
      <c r="AI21" s="119"/>
      <c r="AJ21" s="119"/>
      <c r="AK21" s="119"/>
      <c r="AL21" s="119"/>
      <c r="AM21" s="119"/>
      <c r="AN21" s="30"/>
    </row>
    <row r="22" spans="1:40" ht="15" customHeight="1" x14ac:dyDescent="0.2">
      <c r="A22" s="133" t="s">
        <v>33</v>
      </c>
      <c r="B22" s="27">
        <v>50</v>
      </c>
      <c r="C22" s="27">
        <v>78</v>
      </c>
      <c r="D22" s="27">
        <v>351</v>
      </c>
      <c r="E22" s="27">
        <v>37</v>
      </c>
      <c r="F22" s="27">
        <v>-79</v>
      </c>
      <c r="G22" s="28">
        <v>17</v>
      </c>
      <c r="H22" s="28">
        <v>-552</v>
      </c>
      <c r="I22" s="27">
        <v>27</v>
      </c>
      <c r="J22" s="27">
        <v>-611</v>
      </c>
      <c r="K22" s="27">
        <v>78</v>
      </c>
      <c r="L22" s="27">
        <v>-363</v>
      </c>
      <c r="M22" s="27">
        <v>-207</v>
      </c>
      <c r="N22" s="28">
        <v>-87</v>
      </c>
      <c r="O22" s="28">
        <v>57</v>
      </c>
      <c r="P22" s="308">
        <v>110</v>
      </c>
      <c r="Q22" s="308">
        <v>50</v>
      </c>
      <c r="R22" s="308">
        <v>97</v>
      </c>
      <c r="S22" s="308">
        <v>32</v>
      </c>
      <c r="T22" s="308">
        <v>95</v>
      </c>
      <c r="U22" s="308">
        <v>43</v>
      </c>
      <c r="V22" s="119"/>
      <c r="W22" s="119"/>
      <c r="X22" s="119"/>
      <c r="Y22" s="119"/>
      <c r="Z22" s="119"/>
      <c r="AA22" s="119"/>
      <c r="AB22" s="119"/>
      <c r="AC22" s="119"/>
      <c r="AD22" s="119"/>
      <c r="AE22" s="119"/>
      <c r="AF22" s="119"/>
      <c r="AG22" s="119"/>
      <c r="AH22" s="119"/>
      <c r="AI22" s="119"/>
      <c r="AJ22" s="119"/>
      <c r="AK22" s="119"/>
      <c r="AL22" s="119"/>
      <c r="AM22" s="119"/>
      <c r="AN22" s="30"/>
    </row>
    <row r="23" spans="1:40" ht="15" customHeight="1" outlineLevel="1" x14ac:dyDescent="0.2">
      <c r="A23" s="134" t="s">
        <v>34</v>
      </c>
      <c r="B23" s="27"/>
      <c r="C23" s="27"/>
      <c r="D23" s="27"/>
      <c r="E23" s="27"/>
      <c r="F23" s="27"/>
      <c r="G23" s="28">
        <v>0</v>
      </c>
      <c r="H23" s="28" t="s">
        <v>216</v>
      </c>
      <c r="I23" s="27">
        <v>0</v>
      </c>
      <c r="J23" s="27">
        <v>66</v>
      </c>
      <c r="K23" s="27">
        <v>0</v>
      </c>
      <c r="L23" s="27">
        <v>-213</v>
      </c>
      <c r="M23" s="27">
        <v>0</v>
      </c>
      <c r="N23" s="28">
        <v>0</v>
      </c>
      <c r="O23" s="28">
        <v>0</v>
      </c>
      <c r="P23" s="308">
        <v>0</v>
      </c>
      <c r="Q23" s="308">
        <v>0</v>
      </c>
      <c r="R23" s="308">
        <v>0</v>
      </c>
      <c r="S23" s="308">
        <v>0</v>
      </c>
      <c r="T23" s="308">
        <v>0</v>
      </c>
      <c r="U23" s="308">
        <v>0</v>
      </c>
      <c r="V23" s="119"/>
      <c r="W23" s="119"/>
      <c r="X23" s="119"/>
      <c r="Y23" s="119"/>
      <c r="Z23" s="119"/>
      <c r="AA23" s="119"/>
      <c r="AB23" s="119"/>
      <c r="AC23" s="119"/>
      <c r="AD23" s="119"/>
      <c r="AE23" s="119"/>
      <c r="AF23" s="119"/>
      <c r="AG23" s="119"/>
      <c r="AH23" s="119"/>
      <c r="AI23" s="119"/>
      <c r="AJ23" s="119"/>
      <c r="AK23" s="119"/>
      <c r="AL23" s="119"/>
      <c r="AM23" s="119"/>
      <c r="AN23" s="30"/>
    </row>
    <row r="24" spans="1:40" ht="15" customHeight="1" outlineLevel="1" x14ac:dyDescent="0.2">
      <c r="A24" s="134" t="s">
        <v>35</v>
      </c>
      <c r="B24" s="27"/>
      <c r="C24" s="27"/>
      <c r="D24" s="27"/>
      <c r="E24" s="27"/>
      <c r="F24" s="27"/>
      <c r="G24" s="28">
        <v>0</v>
      </c>
      <c r="H24" s="28">
        <v>18</v>
      </c>
      <c r="I24" s="27">
        <v>0</v>
      </c>
      <c r="J24" s="27">
        <v>43</v>
      </c>
      <c r="K24" s="27">
        <v>0</v>
      </c>
      <c r="L24" s="27"/>
      <c r="M24" s="27">
        <v>0</v>
      </c>
      <c r="N24" s="28">
        <v>0</v>
      </c>
      <c r="O24" s="28">
        <v>0</v>
      </c>
      <c r="P24" s="308">
        <v>0</v>
      </c>
      <c r="Q24" s="308">
        <v>0</v>
      </c>
      <c r="R24" s="308">
        <v>0</v>
      </c>
      <c r="S24" s="308">
        <v>0</v>
      </c>
      <c r="T24" s="308">
        <v>0</v>
      </c>
      <c r="U24" s="308">
        <v>0</v>
      </c>
      <c r="V24" s="119"/>
      <c r="W24" s="119"/>
      <c r="X24" s="119"/>
      <c r="Y24" s="119"/>
      <c r="Z24" s="119"/>
      <c r="AA24" s="119"/>
      <c r="AB24" s="119"/>
      <c r="AC24" s="119"/>
      <c r="AD24" s="119"/>
      <c r="AE24" s="119"/>
      <c r="AF24" s="119"/>
      <c r="AG24" s="119"/>
      <c r="AH24" s="119"/>
      <c r="AI24" s="119"/>
      <c r="AJ24" s="119"/>
      <c r="AK24" s="119"/>
      <c r="AL24" s="119"/>
      <c r="AM24" s="119"/>
      <c r="AN24" s="30"/>
    </row>
    <row r="25" spans="1:40" ht="15" customHeight="1" outlineLevel="1" x14ac:dyDescent="0.2">
      <c r="A25" s="134" t="s">
        <v>36</v>
      </c>
      <c r="B25" s="27"/>
      <c r="C25" s="27"/>
      <c r="D25" s="27"/>
      <c r="E25" s="27"/>
      <c r="F25" s="27"/>
      <c r="G25" s="28">
        <v>0</v>
      </c>
      <c r="H25" s="28">
        <v>2</v>
      </c>
      <c r="I25" s="27">
        <v>0</v>
      </c>
      <c r="J25" s="27">
        <v>7</v>
      </c>
      <c r="K25" s="27">
        <v>0</v>
      </c>
      <c r="L25" s="27"/>
      <c r="M25" s="27">
        <v>0</v>
      </c>
      <c r="N25" s="28">
        <v>0</v>
      </c>
      <c r="O25" s="28">
        <v>0</v>
      </c>
      <c r="P25" s="308">
        <v>0</v>
      </c>
      <c r="Q25" s="308">
        <v>0</v>
      </c>
      <c r="R25" s="308">
        <v>0</v>
      </c>
      <c r="S25" s="308">
        <v>0</v>
      </c>
      <c r="T25" s="308">
        <v>0</v>
      </c>
      <c r="U25" s="308">
        <v>0</v>
      </c>
      <c r="V25" s="119"/>
      <c r="W25" s="119"/>
      <c r="X25" s="119"/>
      <c r="Y25" s="119"/>
      <c r="Z25" s="119"/>
      <c r="AA25" s="119"/>
      <c r="AB25" s="119"/>
      <c r="AC25" s="119"/>
      <c r="AD25" s="119"/>
      <c r="AE25" s="119"/>
      <c r="AF25" s="119"/>
      <c r="AG25" s="119"/>
      <c r="AH25" s="119"/>
      <c r="AI25" s="119"/>
      <c r="AJ25" s="119"/>
      <c r="AK25" s="119"/>
      <c r="AL25" s="119"/>
      <c r="AM25" s="119"/>
      <c r="AN25" s="30"/>
    </row>
    <row r="26" spans="1:40" ht="25.5" outlineLevel="1" x14ac:dyDescent="0.2">
      <c r="A26" s="134" t="s">
        <v>217</v>
      </c>
      <c r="B26" s="27"/>
      <c r="C26" s="27"/>
      <c r="D26" s="27"/>
      <c r="E26" s="27"/>
      <c r="F26" s="27"/>
      <c r="G26" s="28">
        <v>0</v>
      </c>
      <c r="H26" s="28">
        <v>20</v>
      </c>
      <c r="I26" s="27">
        <v>0</v>
      </c>
      <c r="J26" s="27" t="s">
        <v>216</v>
      </c>
      <c r="K26" s="27">
        <v>0</v>
      </c>
      <c r="L26" s="27"/>
      <c r="M26" s="27">
        <v>0</v>
      </c>
      <c r="N26" s="28">
        <v>0</v>
      </c>
      <c r="O26" s="28">
        <v>0</v>
      </c>
      <c r="P26" s="308">
        <v>0</v>
      </c>
      <c r="Q26" s="308">
        <v>0</v>
      </c>
      <c r="R26" s="308">
        <v>0</v>
      </c>
      <c r="S26" s="308">
        <v>0</v>
      </c>
      <c r="T26" s="308">
        <v>0</v>
      </c>
      <c r="U26" s="308">
        <v>0</v>
      </c>
      <c r="V26" s="119"/>
      <c r="W26" s="119"/>
      <c r="X26" s="119"/>
      <c r="Y26" s="119"/>
      <c r="Z26" s="119"/>
      <c r="AA26" s="135"/>
      <c r="AB26" s="119"/>
      <c r="AC26" s="119"/>
      <c r="AD26" s="119"/>
      <c r="AE26" s="119"/>
      <c r="AF26" s="119"/>
      <c r="AG26" s="119"/>
      <c r="AH26" s="119"/>
      <c r="AI26" s="119"/>
      <c r="AJ26" s="119"/>
      <c r="AK26" s="119"/>
      <c r="AL26" s="119"/>
      <c r="AM26" s="119"/>
      <c r="AN26" s="30"/>
    </row>
    <row r="27" spans="1:40" ht="15" customHeight="1" outlineLevel="1" x14ac:dyDescent="0.2">
      <c r="A27" s="134" t="s">
        <v>37</v>
      </c>
      <c r="B27" s="27"/>
      <c r="C27" s="27"/>
      <c r="D27" s="27"/>
      <c r="E27" s="27"/>
      <c r="F27" s="27"/>
      <c r="G27" s="28">
        <v>0</v>
      </c>
      <c r="H27" s="28">
        <v>-18</v>
      </c>
      <c r="I27" s="27">
        <v>0</v>
      </c>
      <c r="J27" s="27">
        <v>-1</v>
      </c>
      <c r="K27" s="27">
        <v>0</v>
      </c>
      <c r="L27" s="27"/>
      <c r="M27" s="27">
        <v>0</v>
      </c>
      <c r="N27" s="28">
        <v>0</v>
      </c>
      <c r="O27" s="28">
        <v>0</v>
      </c>
      <c r="P27" s="308">
        <v>0</v>
      </c>
      <c r="Q27" s="308">
        <v>0</v>
      </c>
      <c r="R27" s="308">
        <v>0</v>
      </c>
      <c r="S27" s="308">
        <v>0</v>
      </c>
      <c r="T27" s="308">
        <v>0</v>
      </c>
      <c r="U27" s="308">
        <v>0</v>
      </c>
      <c r="V27" s="119"/>
      <c r="W27" s="119"/>
      <c r="X27" s="119"/>
      <c r="Y27" s="135"/>
      <c r="Z27" s="119"/>
      <c r="AA27" s="135"/>
      <c r="AB27" s="119"/>
      <c r="AC27" s="119"/>
      <c r="AD27" s="119"/>
      <c r="AE27" s="119"/>
      <c r="AF27" s="119"/>
      <c r="AG27" s="119"/>
      <c r="AH27" s="119"/>
      <c r="AI27" s="119"/>
      <c r="AJ27" s="119"/>
      <c r="AK27" s="119"/>
      <c r="AL27" s="119"/>
      <c r="AM27" s="119"/>
      <c r="AN27" s="30"/>
    </row>
    <row r="28" spans="1:40" ht="15" customHeight="1" outlineLevel="1" x14ac:dyDescent="0.2">
      <c r="A28" s="134" t="s">
        <v>38</v>
      </c>
      <c r="B28" s="27"/>
      <c r="C28" s="27"/>
      <c r="D28" s="27"/>
      <c r="E28" s="27"/>
      <c r="F28" s="27"/>
      <c r="G28" s="28">
        <v>0</v>
      </c>
      <c r="H28" s="28" t="s">
        <v>216</v>
      </c>
      <c r="I28" s="27">
        <v>0</v>
      </c>
      <c r="J28" s="27">
        <v>-2</v>
      </c>
      <c r="K28" s="27">
        <v>0</v>
      </c>
      <c r="L28" s="27"/>
      <c r="M28" s="27">
        <v>0</v>
      </c>
      <c r="N28" s="28">
        <v>0</v>
      </c>
      <c r="O28" s="28">
        <v>0</v>
      </c>
      <c r="P28" s="308">
        <v>0</v>
      </c>
      <c r="Q28" s="308">
        <v>0</v>
      </c>
      <c r="R28" s="308">
        <v>0</v>
      </c>
      <c r="S28" s="308">
        <v>0</v>
      </c>
      <c r="T28" s="308">
        <v>0</v>
      </c>
      <c r="U28" s="308">
        <v>0</v>
      </c>
      <c r="V28" s="119"/>
      <c r="W28" s="119"/>
      <c r="X28" s="119"/>
      <c r="Y28" s="119"/>
      <c r="Z28" s="119"/>
      <c r="AA28" s="119"/>
      <c r="AB28" s="119"/>
      <c r="AC28" s="119"/>
      <c r="AD28" s="119"/>
      <c r="AE28" s="119"/>
      <c r="AF28" s="119"/>
      <c r="AG28" s="119"/>
      <c r="AH28" s="119"/>
      <c r="AI28" s="119"/>
      <c r="AJ28" s="119"/>
      <c r="AK28" s="119"/>
      <c r="AL28" s="119"/>
      <c r="AM28" s="119"/>
      <c r="AN28" s="30"/>
    </row>
    <row r="29" spans="1:40" ht="25.5" outlineLevel="1" x14ac:dyDescent="0.2">
      <c r="A29" s="134" t="s">
        <v>218</v>
      </c>
      <c r="B29" s="27"/>
      <c r="C29" s="27"/>
      <c r="D29" s="27"/>
      <c r="E29" s="27"/>
      <c r="F29" s="27"/>
      <c r="G29" s="28">
        <v>0</v>
      </c>
      <c r="H29" s="28">
        <v>-577</v>
      </c>
      <c r="I29" s="27">
        <v>0</v>
      </c>
      <c r="J29" s="27">
        <v>-728</v>
      </c>
      <c r="K29" s="27"/>
      <c r="L29" s="27">
        <v>-244</v>
      </c>
      <c r="M29" s="27">
        <v>0</v>
      </c>
      <c r="N29" s="28">
        <v>0</v>
      </c>
      <c r="O29" s="28">
        <v>0</v>
      </c>
      <c r="P29" s="308">
        <v>0</v>
      </c>
      <c r="Q29" s="308">
        <v>0</v>
      </c>
      <c r="R29" s="308">
        <v>0</v>
      </c>
      <c r="S29" s="308">
        <v>0</v>
      </c>
      <c r="T29" s="308">
        <v>0</v>
      </c>
      <c r="U29" s="308">
        <v>0</v>
      </c>
      <c r="V29" s="119"/>
      <c r="W29" s="119"/>
      <c r="X29" s="136"/>
      <c r="Y29" s="135"/>
      <c r="Z29" s="119"/>
      <c r="AA29" s="119"/>
      <c r="AB29" s="119"/>
      <c r="AC29" s="119"/>
      <c r="AD29" s="119"/>
      <c r="AE29" s="119"/>
      <c r="AF29" s="119"/>
      <c r="AG29" s="119"/>
      <c r="AH29" s="119"/>
      <c r="AI29" s="119"/>
      <c r="AJ29" s="119"/>
      <c r="AK29" s="119"/>
      <c r="AL29" s="119"/>
      <c r="AM29" s="119"/>
      <c r="AN29" s="30"/>
    </row>
    <row r="30" spans="1:40" ht="25.5" x14ac:dyDescent="0.2">
      <c r="A30" s="134" t="s">
        <v>346</v>
      </c>
      <c r="B30" s="27"/>
      <c r="C30" s="27"/>
      <c r="D30" s="27"/>
      <c r="E30" s="27">
        <v>0</v>
      </c>
      <c r="F30" s="27">
        <v>0</v>
      </c>
      <c r="G30" s="28">
        <v>0</v>
      </c>
      <c r="H30" s="28"/>
      <c r="I30" s="27">
        <v>0</v>
      </c>
      <c r="J30" s="27"/>
      <c r="K30" s="27">
        <v>47</v>
      </c>
      <c r="L30" s="27">
        <v>0</v>
      </c>
      <c r="M30" s="27">
        <v>-306</v>
      </c>
      <c r="N30" s="28">
        <v>-302</v>
      </c>
      <c r="O30" s="28">
        <v>6</v>
      </c>
      <c r="P30" s="308">
        <v>-4</v>
      </c>
      <c r="Q30" s="308">
        <v>16</v>
      </c>
      <c r="R30" s="308">
        <v>20</v>
      </c>
      <c r="S30" s="308">
        <v>0</v>
      </c>
      <c r="T30" s="308">
        <v>0</v>
      </c>
      <c r="U30" s="308">
        <v>0</v>
      </c>
      <c r="V30" s="119"/>
      <c r="W30" s="119"/>
      <c r="X30" s="119"/>
      <c r="Y30" s="119"/>
      <c r="Z30" s="119"/>
      <c r="AA30" s="119"/>
      <c r="AB30" s="119"/>
      <c r="AC30" s="119"/>
      <c r="AD30" s="119"/>
      <c r="AE30" s="119"/>
      <c r="AF30" s="119"/>
      <c r="AG30" s="119"/>
      <c r="AH30" s="119"/>
      <c r="AI30" s="119"/>
      <c r="AJ30" s="119"/>
      <c r="AK30" s="119"/>
      <c r="AL30" s="119"/>
      <c r="AM30" s="119"/>
      <c r="AN30" s="30"/>
    </row>
    <row r="31" spans="1:40" ht="15" customHeight="1" x14ac:dyDescent="0.2">
      <c r="A31" s="134" t="s">
        <v>359</v>
      </c>
      <c r="B31" s="27"/>
      <c r="C31" s="27"/>
      <c r="D31" s="27"/>
      <c r="E31" s="27"/>
      <c r="F31" s="27"/>
      <c r="G31" s="28"/>
      <c r="H31" s="28"/>
      <c r="I31" s="27"/>
      <c r="J31" s="27"/>
      <c r="K31" s="27">
        <v>31</v>
      </c>
      <c r="L31" s="27">
        <v>94</v>
      </c>
      <c r="M31" s="27">
        <v>99</v>
      </c>
      <c r="N31" s="28">
        <v>215</v>
      </c>
      <c r="O31" s="28">
        <v>51</v>
      </c>
      <c r="P31" s="308">
        <v>114</v>
      </c>
      <c r="Q31" s="308">
        <v>34</v>
      </c>
      <c r="R31" s="308">
        <v>77</v>
      </c>
      <c r="S31" s="308">
        <v>32</v>
      </c>
      <c r="T31" s="308">
        <v>95</v>
      </c>
      <c r="U31" s="308">
        <v>43</v>
      </c>
      <c r="V31" s="119"/>
      <c r="W31" s="119"/>
      <c r="X31" s="137"/>
      <c r="Y31" s="119"/>
      <c r="Z31" s="119"/>
      <c r="AA31" s="119"/>
      <c r="AB31" s="119"/>
      <c r="AC31" s="119"/>
      <c r="AD31" s="119"/>
      <c r="AE31" s="119"/>
      <c r="AF31" s="119"/>
      <c r="AG31" s="119"/>
      <c r="AH31" s="119"/>
      <c r="AI31" s="119"/>
      <c r="AJ31" s="119"/>
      <c r="AK31" s="119"/>
      <c r="AL31" s="119"/>
      <c r="AM31" s="119"/>
      <c r="AN31" s="30"/>
    </row>
    <row r="32" spans="1:40" ht="15" customHeight="1" x14ac:dyDescent="0.2">
      <c r="A32" s="134" t="s">
        <v>27</v>
      </c>
      <c r="B32" s="27"/>
      <c r="C32" s="27"/>
      <c r="D32" s="27"/>
      <c r="E32" s="27"/>
      <c r="F32" s="27"/>
      <c r="G32" s="28">
        <v>0</v>
      </c>
      <c r="H32" s="28">
        <v>3</v>
      </c>
      <c r="I32" s="27"/>
      <c r="J32" s="27">
        <v>4</v>
      </c>
      <c r="K32" s="27"/>
      <c r="L32" s="27">
        <v>0</v>
      </c>
      <c r="M32" s="27">
        <v>0</v>
      </c>
      <c r="N32" s="28">
        <v>0</v>
      </c>
      <c r="O32" s="28">
        <v>0</v>
      </c>
      <c r="P32" s="308">
        <v>0</v>
      </c>
      <c r="Q32" s="308">
        <v>0</v>
      </c>
      <c r="R32" s="308">
        <v>0</v>
      </c>
      <c r="S32" s="308">
        <v>0</v>
      </c>
      <c r="T32" s="308">
        <v>0</v>
      </c>
      <c r="U32" s="308">
        <v>0</v>
      </c>
      <c r="V32" s="119"/>
      <c r="W32" s="119"/>
      <c r="X32" s="119"/>
      <c r="Y32" s="119"/>
      <c r="Z32" s="119"/>
      <c r="AA32" s="119"/>
      <c r="AB32" s="119"/>
      <c r="AC32" s="119"/>
      <c r="AD32" s="119"/>
      <c r="AE32" s="119"/>
      <c r="AF32" s="119"/>
      <c r="AG32" s="119"/>
      <c r="AH32" s="119"/>
      <c r="AI32" s="119"/>
      <c r="AJ32" s="119"/>
      <c r="AK32" s="119"/>
      <c r="AL32" s="119"/>
      <c r="AM32" s="119"/>
      <c r="AN32" s="30"/>
    </row>
    <row r="33" spans="1:40" ht="15" customHeight="1" x14ac:dyDescent="0.2">
      <c r="A33" s="118" t="s">
        <v>590</v>
      </c>
      <c r="B33" s="27">
        <v>-141</v>
      </c>
      <c r="C33" s="27">
        <v>-9</v>
      </c>
      <c r="D33" s="27">
        <v>-22</v>
      </c>
      <c r="E33" s="27">
        <v>-227</v>
      </c>
      <c r="F33" s="27">
        <v>-334</v>
      </c>
      <c r="G33" s="28">
        <v>53</v>
      </c>
      <c r="H33" s="28">
        <v>214</v>
      </c>
      <c r="I33" s="27">
        <v>-225</v>
      </c>
      <c r="J33" s="27">
        <v>-202</v>
      </c>
      <c r="K33" s="27">
        <v>-107</v>
      </c>
      <c r="L33" s="27">
        <v>-1594</v>
      </c>
      <c r="M33" s="27">
        <v>-122</v>
      </c>
      <c r="N33" s="28">
        <v>-865</v>
      </c>
      <c r="O33" s="28">
        <v>310</v>
      </c>
      <c r="P33" s="308">
        <v>491</v>
      </c>
      <c r="Q33" s="308">
        <v>21</v>
      </c>
      <c r="R33" s="308">
        <v>159</v>
      </c>
      <c r="S33" s="308">
        <v>-453</v>
      </c>
      <c r="T33" s="308">
        <v>-1029</v>
      </c>
      <c r="U33" s="308">
        <v>548</v>
      </c>
      <c r="V33" s="119"/>
      <c r="W33" s="119"/>
      <c r="X33" s="119"/>
      <c r="Y33" s="119"/>
      <c r="Z33" s="119"/>
      <c r="AA33" s="119"/>
      <c r="AB33" s="119"/>
      <c r="AC33" s="119"/>
      <c r="AD33" s="119"/>
      <c r="AE33" s="119"/>
      <c r="AF33" s="119"/>
      <c r="AG33" s="119"/>
      <c r="AH33" s="119"/>
      <c r="AI33" s="119"/>
      <c r="AJ33" s="119"/>
      <c r="AK33" s="119"/>
      <c r="AL33" s="119"/>
      <c r="AM33" s="119"/>
      <c r="AN33" s="30"/>
    </row>
    <row r="34" spans="1:40" ht="25.5" x14ac:dyDescent="0.2">
      <c r="A34" s="118" t="s">
        <v>489</v>
      </c>
      <c r="B34" s="27">
        <v>4</v>
      </c>
      <c r="C34" s="27">
        <v>0</v>
      </c>
      <c r="D34" s="27">
        <v>4</v>
      </c>
      <c r="E34" s="27">
        <v>0</v>
      </c>
      <c r="F34" s="27">
        <v>8</v>
      </c>
      <c r="G34" s="28">
        <v>8</v>
      </c>
      <c r="H34" s="28">
        <v>8</v>
      </c>
      <c r="I34" s="27">
        <v>0</v>
      </c>
      <c r="J34" s="27">
        <v>0</v>
      </c>
      <c r="K34" s="27">
        <v>0</v>
      </c>
      <c r="L34" s="27">
        <v>0</v>
      </c>
      <c r="M34" s="27"/>
      <c r="N34" s="28"/>
      <c r="O34" s="28"/>
      <c r="P34" s="308"/>
      <c r="Q34" s="308"/>
      <c r="R34" s="308"/>
      <c r="S34" s="308"/>
      <c r="T34" s="308"/>
      <c r="U34" s="308"/>
      <c r="V34" s="119"/>
      <c r="W34" s="119"/>
      <c r="X34" s="119"/>
      <c r="Y34" s="119"/>
      <c r="Z34" s="119"/>
      <c r="AA34" s="119"/>
      <c r="AB34" s="119"/>
      <c r="AC34" s="119"/>
      <c r="AD34" s="119"/>
      <c r="AE34" s="119"/>
      <c r="AF34" s="119"/>
      <c r="AG34" s="119"/>
      <c r="AH34" s="119"/>
      <c r="AI34" s="119"/>
      <c r="AJ34" s="119"/>
      <c r="AK34" s="119"/>
      <c r="AL34" s="119"/>
      <c r="AM34" s="119"/>
      <c r="AN34" s="30"/>
    </row>
    <row r="35" spans="1:40" ht="15" customHeight="1" x14ac:dyDescent="0.2">
      <c r="A35" s="118" t="s">
        <v>39</v>
      </c>
      <c r="B35" s="127">
        <v>2</v>
      </c>
      <c r="C35" s="127">
        <v>22</v>
      </c>
      <c r="D35" s="127">
        <v>35</v>
      </c>
      <c r="E35" s="127">
        <v>-3</v>
      </c>
      <c r="F35" s="127">
        <v>-33</v>
      </c>
      <c r="G35" s="127">
        <v>-17</v>
      </c>
      <c r="H35" s="127">
        <v>-97</v>
      </c>
      <c r="I35" s="127">
        <v>34</v>
      </c>
      <c r="J35" s="127">
        <v>43</v>
      </c>
      <c r="K35" s="127">
        <v>22</v>
      </c>
      <c r="L35" s="127">
        <v>50</v>
      </c>
      <c r="M35" s="127">
        <v>10</v>
      </c>
      <c r="N35" s="128">
        <v>16</v>
      </c>
      <c r="O35" s="128">
        <v>-3</v>
      </c>
      <c r="P35" s="128">
        <v>0</v>
      </c>
      <c r="Q35" s="128">
        <v>0</v>
      </c>
      <c r="R35" s="128">
        <v>0</v>
      </c>
      <c r="S35" s="128">
        <v>0</v>
      </c>
      <c r="T35" s="128">
        <v>0</v>
      </c>
      <c r="U35" s="128">
        <v>0</v>
      </c>
      <c r="V35" s="119"/>
      <c r="W35" s="119"/>
      <c r="X35" s="119"/>
      <c r="Y35" s="119"/>
      <c r="Z35" s="119"/>
      <c r="AA35" s="119"/>
      <c r="AB35" s="119"/>
      <c r="AC35" s="119"/>
      <c r="AD35" s="119"/>
      <c r="AE35" s="119"/>
      <c r="AF35" s="119"/>
      <c r="AG35" s="119"/>
      <c r="AH35" s="119"/>
      <c r="AI35" s="119"/>
      <c r="AJ35" s="119"/>
      <c r="AK35" s="119"/>
      <c r="AL35" s="119"/>
      <c r="AM35" s="119"/>
      <c r="AN35" s="30"/>
    </row>
    <row r="36" spans="1:40" ht="15" customHeight="1" x14ac:dyDescent="0.2">
      <c r="A36" s="120" t="s">
        <v>40</v>
      </c>
      <c r="B36" s="125">
        <v>3306</v>
      </c>
      <c r="C36" s="125">
        <v>2944</v>
      </c>
      <c r="D36" s="125">
        <v>6782</v>
      </c>
      <c r="E36" s="125">
        <v>3129</v>
      </c>
      <c r="F36" s="125">
        <v>5646</v>
      </c>
      <c r="G36" s="125">
        <v>2035</v>
      </c>
      <c r="H36" s="125">
        <v>3143</v>
      </c>
      <c r="I36" s="125">
        <v>889</v>
      </c>
      <c r="J36" s="125">
        <v>1330</v>
      </c>
      <c r="K36" s="125">
        <v>1879</v>
      </c>
      <c r="L36" s="125">
        <v>2660</v>
      </c>
      <c r="M36" s="125">
        <v>1979</v>
      </c>
      <c r="N36" s="126">
        <v>2244</v>
      </c>
      <c r="O36" s="126">
        <v>1674</v>
      </c>
      <c r="P36" s="126">
        <v>3276</v>
      </c>
      <c r="Q36" s="126">
        <v>1218</v>
      </c>
      <c r="R36" s="126">
        <v>2844</v>
      </c>
      <c r="S36" s="126">
        <v>2056</v>
      </c>
      <c r="T36" s="126">
        <v>3902</v>
      </c>
      <c r="U36" s="126">
        <v>3773</v>
      </c>
      <c r="V36" s="119">
        <v>1.0514216575922566</v>
      </c>
      <c r="W36" s="119">
        <v>6.2839673913043459E-2</v>
      </c>
      <c r="X36" s="119">
        <v>-0.16750221173695079</v>
      </c>
      <c r="Y36" s="119">
        <v>-0.34963247043783952</v>
      </c>
      <c r="Z36" s="119">
        <v>-0.4433227063407722</v>
      </c>
      <c r="AA36" s="119">
        <v>-0.56314496314496321</v>
      </c>
      <c r="AB36" s="119">
        <v>-0.57683741648106901</v>
      </c>
      <c r="AC36" s="119">
        <v>1.1136107986501687</v>
      </c>
      <c r="AD36" s="119">
        <v>1</v>
      </c>
      <c r="AE36" s="119">
        <v>5.3219797764768595E-2</v>
      </c>
      <c r="AF36" s="119">
        <v>-0.15639097744360897</v>
      </c>
      <c r="AG36" s="119">
        <v>-0.15411824153612941</v>
      </c>
      <c r="AH36" s="119">
        <v>0.45989304812834231</v>
      </c>
      <c r="AI36" s="119">
        <v>-0.27240143369175629</v>
      </c>
      <c r="AJ36" s="119">
        <v>-0.13186813186813184</v>
      </c>
      <c r="AK36" s="119">
        <f t="shared" ref="AK36" si="0">T36/Q36-1</f>
        <v>2.2036124794745486</v>
      </c>
      <c r="AL36" s="119">
        <v>0.37201125175808714</v>
      </c>
      <c r="AM36" s="119">
        <v>0.83511673151750965</v>
      </c>
      <c r="AN36" s="30"/>
    </row>
    <row r="37" spans="1:40" ht="15" customHeight="1" x14ac:dyDescent="0.2">
      <c r="A37" s="118" t="s">
        <v>41</v>
      </c>
      <c r="B37" s="27">
        <v>-802</v>
      </c>
      <c r="C37" s="27">
        <v>-615</v>
      </c>
      <c r="D37" s="27">
        <v>-1548</v>
      </c>
      <c r="E37" s="27">
        <v>-751</v>
      </c>
      <c r="F37" s="27">
        <v>-1460</v>
      </c>
      <c r="G37" s="27">
        <v>-554</v>
      </c>
      <c r="H37" s="27">
        <v>-1000</v>
      </c>
      <c r="I37" s="27">
        <v>-344</v>
      </c>
      <c r="J37" s="27">
        <v>-565</v>
      </c>
      <c r="K37" s="27">
        <v>-423</v>
      </c>
      <c r="L37" s="27">
        <v>-660</v>
      </c>
      <c r="M37" s="27">
        <v>-486</v>
      </c>
      <c r="N37" s="28">
        <v>-528</v>
      </c>
      <c r="O37" s="28">
        <v>-370</v>
      </c>
      <c r="P37" s="308">
        <v>-745</v>
      </c>
      <c r="Q37" s="308">
        <v>-303</v>
      </c>
      <c r="R37" s="308">
        <v>-721</v>
      </c>
      <c r="S37" s="308">
        <v>-403</v>
      </c>
      <c r="T37" s="308">
        <v>-843</v>
      </c>
      <c r="U37" s="308">
        <v>-776</v>
      </c>
      <c r="V37" s="119"/>
      <c r="W37" s="119"/>
      <c r="X37" s="119"/>
      <c r="Y37" s="119"/>
      <c r="Z37" s="119"/>
      <c r="AA37" s="119"/>
      <c r="AB37" s="119"/>
      <c r="AC37" s="119"/>
      <c r="AD37" s="119"/>
      <c r="AE37" s="119"/>
      <c r="AF37" s="119"/>
      <c r="AG37" s="119"/>
      <c r="AH37" s="119"/>
      <c r="AI37" s="119"/>
      <c r="AJ37" s="119"/>
      <c r="AK37" s="119"/>
      <c r="AL37" s="119"/>
      <c r="AM37" s="119"/>
      <c r="AN37" s="30"/>
    </row>
    <row r="38" spans="1:40" ht="15" customHeight="1" thickBot="1" x14ac:dyDescent="0.25">
      <c r="A38" s="118" t="s">
        <v>475</v>
      </c>
      <c r="B38" s="138">
        <v>147</v>
      </c>
      <c r="C38" s="138">
        <v>16</v>
      </c>
      <c r="D38" s="138">
        <v>-2145</v>
      </c>
      <c r="E38" s="138">
        <v>-560</v>
      </c>
      <c r="F38" s="138">
        <v>-560</v>
      </c>
      <c r="G38" s="138">
        <v>0</v>
      </c>
      <c r="H38" s="138">
        <v>0</v>
      </c>
      <c r="I38" s="138">
        <v>0</v>
      </c>
      <c r="J38" s="138">
        <v>0</v>
      </c>
      <c r="K38" s="138">
        <v>0</v>
      </c>
      <c r="L38" s="138">
        <v>0</v>
      </c>
      <c r="M38" s="138"/>
      <c r="N38" s="139"/>
      <c r="O38" s="139"/>
      <c r="P38" s="139"/>
      <c r="Q38" s="139"/>
      <c r="R38" s="139"/>
      <c r="S38" s="139"/>
      <c r="T38" s="139"/>
      <c r="U38" s="139"/>
      <c r="V38" s="119"/>
      <c r="W38" s="119"/>
      <c r="X38" s="119"/>
      <c r="Y38" s="119"/>
      <c r="Z38" s="119"/>
      <c r="AA38" s="119"/>
      <c r="AB38" s="119"/>
      <c r="AC38" s="119"/>
      <c r="AD38" s="119"/>
      <c r="AE38" s="119"/>
      <c r="AF38" s="119"/>
      <c r="AG38" s="119"/>
      <c r="AH38" s="119"/>
      <c r="AI38" s="119"/>
      <c r="AJ38" s="119"/>
      <c r="AK38" s="119"/>
      <c r="AL38" s="119"/>
      <c r="AM38" s="119"/>
      <c r="AN38" s="30"/>
    </row>
    <row r="39" spans="1:40" ht="15" customHeight="1" thickTop="1" x14ac:dyDescent="0.2">
      <c r="A39" s="120" t="s">
        <v>591</v>
      </c>
      <c r="B39" s="125">
        <v>2651</v>
      </c>
      <c r="C39" s="125">
        <v>2345</v>
      </c>
      <c r="D39" s="125">
        <v>3089</v>
      </c>
      <c r="E39" s="125">
        <v>1818</v>
      </c>
      <c r="F39" s="125">
        <v>3626</v>
      </c>
      <c r="G39" s="125">
        <v>1481</v>
      </c>
      <c r="H39" s="125">
        <v>2143</v>
      </c>
      <c r="I39" s="125">
        <v>545</v>
      </c>
      <c r="J39" s="125">
        <v>765</v>
      </c>
      <c r="K39" s="125">
        <v>1456</v>
      </c>
      <c r="L39" s="125">
        <v>2000</v>
      </c>
      <c r="M39" s="125">
        <v>1493</v>
      </c>
      <c r="N39" s="126">
        <v>1716</v>
      </c>
      <c r="O39" s="126">
        <v>1304</v>
      </c>
      <c r="P39" s="126">
        <v>2531</v>
      </c>
      <c r="Q39" s="126">
        <v>915</v>
      </c>
      <c r="R39" s="126">
        <v>2123</v>
      </c>
      <c r="S39" s="126">
        <v>1653</v>
      </c>
      <c r="T39" s="126">
        <v>3059</v>
      </c>
      <c r="U39" s="126">
        <v>2997</v>
      </c>
      <c r="V39" s="119">
        <v>0.16522067144473773</v>
      </c>
      <c r="W39" s="119">
        <v>-0.22473347547974409</v>
      </c>
      <c r="X39" s="119">
        <v>0.17384266752994493</v>
      </c>
      <c r="Y39" s="119">
        <v>-0.18536853685368537</v>
      </c>
      <c r="Z39" s="119">
        <v>-0.40899062327633762</v>
      </c>
      <c r="AA39" s="119">
        <v>-0.63200540175557052</v>
      </c>
      <c r="AB39" s="119">
        <v>-0.64302379841343904</v>
      </c>
      <c r="AC39" s="119">
        <v>1.6715596330275231</v>
      </c>
      <c r="AD39" s="119">
        <v>1.6143790849673203</v>
      </c>
      <c r="AE39" s="119">
        <v>2.5412087912087822E-2</v>
      </c>
      <c r="AF39" s="119">
        <v>-0.14200000000000002</v>
      </c>
      <c r="AG39" s="119">
        <v>-0.12659075686537169</v>
      </c>
      <c r="AH39" s="119">
        <v>0.47494172494172493</v>
      </c>
      <c r="AI39" s="119">
        <v>-0.29831288343558282</v>
      </c>
      <c r="AJ39" s="119">
        <v>-0.16120110628210194</v>
      </c>
      <c r="AK39" s="119">
        <f t="shared" ref="AK39" si="1">T39/Q39-1</f>
        <v>2.3431693989071039</v>
      </c>
      <c r="AL39" s="119">
        <v>0.44088553933113528</v>
      </c>
      <c r="AM39" s="119">
        <v>0.81306715063520874</v>
      </c>
      <c r="AN39" s="30"/>
    </row>
    <row r="40" spans="1:40" s="372" customFormat="1" ht="15" customHeight="1" x14ac:dyDescent="0.2">
      <c r="A40" s="26" t="s">
        <v>422</v>
      </c>
      <c r="B40" s="367"/>
      <c r="C40" s="367"/>
      <c r="D40" s="367"/>
      <c r="E40" s="367"/>
      <c r="F40" s="367"/>
      <c r="G40" s="367" t="s">
        <v>207</v>
      </c>
      <c r="H40" s="367">
        <v>3039</v>
      </c>
      <c r="I40" s="367">
        <v>1181</v>
      </c>
      <c r="J40" s="367">
        <v>2537</v>
      </c>
      <c r="K40" s="367">
        <v>1587</v>
      </c>
      <c r="L40" s="367">
        <v>3968</v>
      </c>
      <c r="M40" s="367">
        <v>1923</v>
      </c>
      <c r="N40" s="368">
        <v>3167</v>
      </c>
      <c r="O40" s="368">
        <v>991</v>
      </c>
      <c r="P40" s="368">
        <v>2258</v>
      </c>
      <c r="Q40" s="368">
        <v>903</v>
      </c>
      <c r="R40" s="368">
        <v>2171</v>
      </c>
      <c r="S40" s="368">
        <v>2112</v>
      </c>
      <c r="T40" s="368">
        <v>4138</v>
      </c>
      <c r="U40" s="368">
        <v>2454</v>
      </c>
      <c r="V40" s="369"/>
      <c r="W40" s="370"/>
      <c r="X40" s="370"/>
      <c r="Y40" s="370"/>
      <c r="Z40" s="370"/>
      <c r="AA40" s="370"/>
      <c r="AB40" s="370"/>
      <c r="AC40" s="370"/>
      <c r="AD40" s="370"/>
      <c r="AE40" s="370"/>
      <c r="AF40" s="370"/>
      <c r="AG40" s="370"/>
      <c r="AH40" s="370"/>
      <c r="AI40" s="370"/>
      <c r="AJ40" s="370"/>
      <c r="AK40" s="370"/>
      <c r="AL40" s="370"/>
      <c r="AM40" s="370"/>
      <c r="AN40" s="371"/>
    </row>
    <row r="41" spans="1:40" ht="15" customHeight="1" outlineLevel="1" x14ac:dyDescent="0.2">
      <c r="A41" s="26" t="s">
        <v>42</v>
      </c>
      <c r="B41" s="27"/>
      <c r="C41" s="27"/>
      <c r="D41" s="27"/>
      <c r="E41" s="27"/>
      <c r="F41" s="27"/>
      <c r="G41" s="27"/>
      <c r="H41" s="27"/>
      <c r="I41" s="27"/>
      <c r="J41" s="27"/>
      <c r="K41" s="27"/>
      <c r="L41" s="27"/>
      <c r="M41" s="27"/>
      <c r="N41" s="28"/>
      <c r="O41" s="28"/>
      <c r="P41" s="308"/>
      <c r="Q41" s="308"/>
      <c r="R41" s="308"/>
      <c r="S41" s="308"/>
      <c r="T41" s="308"/>
      <c r="U41" s="308"/>
      <c r="V41" s="140"/>
      <c r="W41" s="119"/>
      <c r="X41" s="119"/>
      <c r="Y41" s="119"/>
      <c r="Z41" s="119"/>
      <c r="AA41" s="119"/>
      <c r="AB41" s="119"/>
      <c r="AC41" s="119"/>
      <c r="AD41" s="119"/>
      <c r="AE41" s="119"/>
      <c r="AF41" s="119"/>
      <c r="AG41" s="119"/>
      <c r="AH41" s="119"/>
      <c r="AI41" s="119"/>
      <c r="AJ41" s="119"/>
      <c r="AK41" s="119"/>
      <c r="AL41" s="119"/>
      <c r="AM41" s="119"/>
      <c r="AN41" s="30"/>
    </row>
    <row r="42" spans="1:40" ht="15" customHeight="1" outlineLevel="1" x14ac:dyDescent="0.2">
      <c r="A42" s="118" t="s">
        <v>43</v>
      </c>
      <c r="B42" s="27">
        <v>2600</v>
      </c>
      <c r="C42" s="27">
        <v>2333</v>
      </c>
      <c r="D42" s="27">
        <v>3298</v>
      </c>
      <c r="E42" s="27">
        <v>1795</v>
      </c>
      <c r="F42" s="27">
        <v>3604</v>
      </c>
      <c r="G42" s="27">
        <v>1504</v>
      </c>
      <c r="H42" s="27">
        <v>2170</v>
      </c>
      <c r="I42" s="27">
        <v>554</v>
      </c>
      <c r="J42" s="27">
        <v>774</v>
      </c>
      <c r="K42" s="27">
        <v>1452</v>
      </c>
      <c r="L42" s="27">
        <v>2003</v>
      </c>
      <c r="M42" s="27">
        <v>1498</v>
      </c>
      <c r="N42" s="28">
        <v>1734</v>
      </c>
      <c r="O42" s="28">
        <v>1309</v>
      </c>
      <c r="P42" s="308">
        <v>2536</v>
      </c>
      <c r="Q42" s="308">
        <v>918</v>
      </c>
      <c r="R42" s="308">
        <v>2129</v>
      </c>
      <c r="S42" s="308">
        <v>1675</v>
      </c>
      <c r="T42" s="308">
        <v>3085</v>
      </c>
      <c r="U42" s="308">
        <v>2881</v>
      </c>
      <c r="V42" s="140"/>
      <c r="W42" s="119"/>
      <c r="X42" s="119"/>
      <c r="Y42" s="119"/>
      <c r="Z42" s="119"/>
      <c r="AA42" s="119"/>
      <c r="AB42" s="119"/>
      <c r="AC42" s="119"/>
      <c r="AD42" s="119"/>
      <c r="AE42" s="119"/>
      <c r="AF42" s="119"/>
      <c r="AG42" s="119"/>
      <c r="AH42" s="119"/>
      <c r="AI42" s="119"/>
      <c r="AJ42" s="119"/>
      <c r="AK42" s="119"/>
      <c r="AL42" s="119"/>
      <c r="AM42" s="119"/>
      <c r="AN42" s="30"/>
    </row>
    <row r="43" spans="1:40" ht="15" customHeight="1" outlineLevel="1" x14ac:dyDescent="0.2">
      <c r="A43" s="118" t="s">
        <v>44</v>
      </c>
      <c r="B43" s="27">
        <v>51</v>
      </c>
      <c r="C43" s="27">
        <v>12</v>
      </c>
      <c r="D43" s="27">
        <v>-209</v>
      </c>
      <c r="E43" s="27">
        <v>23</v>
      </c>
      <c r="F43" s="27">
        <v>22</v>
      </c>
      <c r="G43" s="27">
        <v>-23</v>
      </c>
      <c r="H43" s="27">
        <v>-27</v>
      </c>
      <c r="I43" s="27">
        <v>-9</v>
      </c>
      <c r="J43" s="27">
        <v>-9</v>
      </c>
      <c r="K43" s="27">
        <v>4</v>
      </c>
      <c r="L43" s="27">
        <v>-3</v>
      </c>
      <c r="M43" s="27">
        <v>-5</v>
      </c>
      <c r="N43" s="28">
        <v>-18</v>
      </c>
      <c r="O43" s="28">
        <v>-5</v>
      </c>
      <c r="P43" s="308">
        <v>-5</v>
      </c>
      <c r="Q43" s="308">
        <v>-3</v>
      </c>
      <c r="R43" s="308">
        <v>-6</v>
      </c>
      <c r="S43" s="308">
        <v>-22</v>
      </c>
      <c r="T43" s="308">
        <v>-26</v>
      </c>
      <c r="U43" s="308">
        <v>116</v>
      </c>
      <c r="V43" s="140"/>
      <c r="W43" s="119"/>
      <c r="X43" s="119"/>
      <c r="Y43" s="119"/>
      <c r="Z43" s="119"/>
      <c r="AA43" s="119"/>
      <c r="AB43" s="119"/>
      <c r="AC43" s="119"/>
      <c r="AD43" s="119"/>
      <c r="AE43" s="119"/>
      <c r="AF43" s="119"/>
      <c r="AG43" s="119"/>
      <c r="AH43" s="119"/>
      <c r="AI43" s="119"/>
      <c r="AJ43" s="119"/>
      <c r="AK43" s="119"/>
      <c r="AL43" s="119"/>
      <c r="AM43" s="119"/>
      <c r="AN43" s="30"/>
    </row>
    <row r="44" spans="1:40" x14ac:dyDescent="0.2">
      <c r="A44" s="52" t="s">
        <v>4</v>
      </c>
      <c r="B44" s="141">
        <v>174350551</v>
      </c>
      <c r="C44" s="141">
        <v>175113679</v>
      </c>
      <c r="D44" s="141">
        <v>175468881</v>
      </c>
      <c r="E44" s="141">
        <v>177088493</v>
      </c>
      <c r="F44" s="141">
        <v>173166532</v>
      </c>
      <c r="G44" s="141">
        <v>158235462</v>
      </c>
      <c r="H44" s="141">
        <v>158235462</v>
      </c>
      <c r="I44" s="141">
        <v>158238892</v>
      </c>
      <c r="J44" s="141">
        <v>158242211</v>
      </c>
      <c r="K44" s="141">
        <v>158245476</v>
      </c>
      <c r="L44" s="141">
        <v>158245476</v>
      </c>
      <c r="M44" s="141">
        <v>158245418</v>
      </c>
      <c r="N44" s="142">
        <v>157755901</v>
      </c>
      <c r="O44" s="142">
        <v>156995401</v>
      </c>
      <c r="P44" s="142">
        <v>157050049</v>
      </c>
      <c r="Q44" s="142">
        <v>158245476</v>
      </c>
      <c r="R44" s="142">
        <v>158245476</v>
      </c>
      <c r="S44" s="142">
        <v>158245476</v>
      </c>
      <c r="T44" s="308">
        <v>158245476</v>
      </c>
      <c r="U44" s="308">
        <v>158245476</v>
      </c>
      <c r="V44" s="27"/>
      <c r="W44" s="119"/>
      <c r="X44" s="119"/>
      <c r="Y44" s="119"/>
      <c r="Z44" s="119"/>
      <c r="AA44" s="119"/>
      <c r="AB44" s="119"/>
      <c r="AC44" s="119"/>
      <c r="AD44" s="119"/>
      <c r="AE44" s="119"/>
      <c r="AF44" s="119"/>
      <c r="AG44" s="119"/>
      <c r="AH44" s="119"/>
      <c r="AI44" s="119"/>
      <c r="AJ44" s="119"/>
      <c r="AK44" s="119"/>
      <c r="AL44" s="119"/>
      <c r="AM44" s="119"/>
      <c r="AN44" s="30"/>
    </row>
    <row r="45" spans="1:40" s="25" customFormat="1" ht="25.5" x14ac:dyDescent="0.2">
      <c r="A45" s="143" t="s">
        <v>45</v>
      </c>
      <c r="B45" s="445">
        <v>14.6</v>
      </c>
      <c r="C45" s="445">
        <v>13.3</v>
      </c>
      <c r="D45" s="445">
        <v>18.8</v>
      </c>
      <c r="E45" s="445">
        <v>9.5</v>
      </c>
      <c r="F45" s="445">
        <v>20.8</v>
      </c>
      <c r="G45" s="445">
        <v>9.5</v>
      </c>
      <c r="H45" s="445">
        <v>13.7</v>
      </c>
      <c r="I45" s="445">
        <v>3.5</v>
      </c>
      <c r="J45" s="445">
        <v>4.9000000000000004</v>
      </c>
      <c r="K45" s="445">
        <v>9.1999999999999993</v>
      </c>
      <c r="L45" s="445">
        <v>12.7</v>
      </c>
      <c r="M45" s="445">
        <v>9.5</v>
      </c>
      <c r="N45" s="446">
        <v>11</v>
      </c>
      <c r="O45" s="446">
        <v>8.3000000000000007</v>
      </c>
      <c r="P45" s="446">
        <v>16.100000000000001</v>
      </c>
      <c r="Q45" s="446">
        <v>5.8</v>
      </c>
      <c r="R45" s="446">
        <v>13.5</v>
      </c>
      <c r="S45" s="446">
        <v>10.6</v>
      </c>
      <c r="T45" s="446">
        <v>19.399999999999999</v>
      </c>
      <c r="U45" s="446">
        <v>18.2</v>
      </c>
      <c r="V45" s="144"/>
      <c r="W45" s="145"/>
      <c r="X45" s="145"/>
      <c r="Y45" s="145"/>
      <c r="Z45" s="145"/>
      <c r="AA45" s="145"/>
      <c r="AB45" s="145"/>
      <c r="AC45" s="145"/>
      <c r="AD45" s="145"/>
      <c r="AE45" s="145"/>
      <c r="AF45" s="145"/>
      <c r="AG45" s="145"/>
      <c r="AH45" s="145"/>
      <c r="AI45" s="145"/>
      <c r="AJ45" s="145"/>
      <c r="AK45" s="145"/>
      <c r="AL45" s="145"/>
      <c r="AM45" s="145"/>
      <c r="AN45" s="146"/>
    </row>
    <row r="46" spans="1:40" ht="15" customHeight="1" x14ac:dyDescent="0.2">
      <c r="A46" s="109" t="s">
        <v>55</v>
      </c>
      <c r="D46" s="147"/>
      <c r="E46" s="147"/>
      <c r="F46" s="147"/>
      <c r="G46" s="147"/>
      <c r="H46" s="148"/>
      <c r="I46" s="148"/>
      <c r="J46" s="148"/>
      <c r="K46" s="148"/>
      <c r="L46" s="148"/>
      <c r="M46" s="148"/>
      <c r="N46" s="148"/>
      <c r="O46" s="148"/>
      <c r="P46" s="148"/>
      <c r="Q46" s="148"/>
      <c r="R46" s="148"/>
      <c r="S46" s="148"/>
      <c r="T46" s="148"/>
      <c r="U46" s="148"/>
      <c r="V46" s="140"/>
      <c r="W46" s="119"/>
      <c r="X46" s="119"/>
      <c r="Y46" s="149"/>
      <c r="Z46" s="149"/>
      <c r="AA46" s="149"/>
      <c r="AB46" s="149"/>
      <c r="AC46" s="149"/>
      <c r="AD46" s="149"/>
      <c r="AN46" s="30"/>
    </row>
    <row r="47" spans="1:40" x14ac:dyDescent="0.2">
      <c r="D47" s="147"/>
      <c r="E47" s="147"/>
      <c r="F47" s="147"/>
      <c r="G47" s="147"/>
      <c r="H47" s="148"/>
      <c r="I47" s="148"/>
      <c r="J47" s="148"/>
      <c r="K47" s="150"/>
      <c r="L47" s="148"/>
      <c r="M47" s="148"/>
      <c r="N47" s="148"/>
      <c r="O47" s="148"/>
      <c r="P47" s="148"/>
      <c r="Q47" s="148"/>
      <c r="R47" s="148"/>
      <c r="S47" s="148"/>
      <c r="T47" s="148"/>
      <c r="U47" s="148"/>
      <c r="V47" s="140"/>
      <c r="W47" s="119"/>
      <c r="X47" s="119"/>
      <c r="Y47" s="149"/>
      <c r="Z47" s="149"/>
      <c r="AA47" s="149"/>
      <c r="AB47" s="149"/>
      <c r="AC47" s="149"/>
      <c r="AD47" s="149"/>
      <c r="AN47" s="30"/>
    </row>
    <row r="48" spans="1:40" x14ac:dyDescent="0.2">
      <c r="A48" s="15" t="s">
        <v>56</v>
      </c>
      <c r="C48" s="22"/>
      <c r="G48" s="148"/>
      <c r="H48" s="148"/>
      <c r="I48" s="148"/>
      <c r="J48" s="148"/>
      <c r="V48" s="151"/>
      <c r="W48" s="151"/>
      <c r="X48" s="151"/>
      <c r="Y48" s="151"/>
      <c r="Z48" s="151"/>
      <c r="AA48" s="151"/>
      <c r="AB48" s="151"/>
      <c r="AC48" s="151"/>
      <c r="AD48" s="151"/>
      <c r="AN48" s="30"/>
    </row>
    <row r="49" spans="1:40" s="108" customFormat="1" ht="27" x14ac:dyDescent="0.25">
      <c r="A49" s="16" t="s">
        <v>383</v>
      </c>
      <c r="B49" s="17"/>
      <c r="C49" s="17"/>
      <c r="D49" s="17"/>
      <c r="E49" s="17"/>
      <c r="F49" s="17"/>
      <c r="G49" s="152"/>
      <c r="H49" s="152"/>
      <c r="I49" s="152"/>
      <c r="J49" s="17"/>
      <c r="K49" s="17"/>
      <c r="L49" s="17"/>
      <c r="M49" s="17"/>
      <c r="N49" s="17"/>
      <c r="O49" s="17"/>
      <c r="P49" s="17"/>
      <c r="Q49" s="17"/>
      <c r="R49" s="17"/>
      <c r="S49" s="17"/>
      <c r="T49" s="17"/>
      <c r="U49" s="17"/>
      <c r="V49" s="153"/>
      <c r="W49" s="153"/>
      <c r="X49" s="153"/>
      <c r="Y49" s="153"/>
      <c r="Z49" s="153"/>
      <c r="AA49" s="153"/>
      <c r="AB49" s="153"/>
      <c r="AC49" s="153"/>
      <c r="AD49" s="153"/>
      <c r="AE49" s="229"/>
      <c r="AF49" s="229"/>
      <c r="AG49" s="229"/>
      <c r="AH49" s="229"/>
      <c r="AI49" s="229"/>
      <c r="AJ49" s="229"/>
      <c r="AK49" s="229"/>
      <c r="AL49" s="229"/>
      <c r="AM49" s="229"/>
      <c r="AN49" s="154"/>
    </row>
    <row r="50" spans="1:40" s="108" customFormat="1" ht="27" x14ac:dyDescent="0.25">
      <c r="A50" s="16" t="s">
        <v>459</v>
      </c>
      <c r="B50" s="17"/>
      <c r="C50" s="17"/>
      <c r="D50" s="17"/>
      <c r="E50" s="17"/>
      <c r="F50" s="17"/>
      <c r="G50" s="152"/>
      <c r="H50" s="152"/>
      <c r="I50" s="152"/>
      <c r="J50" s="17"/>
      <c r="K50" s="17"/>
      <c r="L50" s="17"/>
      <c r="M50" s="17"/>
      <c r="N50" s="17"/>
      <c r="O50" s="17"/>
      <c r="P50" s="17"/>
      <c r="Q50" s="17"/>
      <c r="R50" s="17"/>
      <c r="S50" s="17"/>
      <c r="T50" s="17"/>
      <c r="U50" s="17"/>
      <c r="V50" s="153"/>
      <c r="W50" s="153"/>
      <c r="X50" s="153"/>
      <c r="Y50" s="153"/>
      <c r="Z50" s="153"/>
      <c r="AA50" s="153"/>
      <c r="AB50" s="153"/>
      <c r="AC50" s="153"/>
      <c r="AD50" s="153"/>
      <c r="AE50" s="229"/>
      <c r="AF50" s="229"/>
      <c r="AG50" s="229"/>
      <c r="AH50" s="229"/>
      <c r="AI50" s="229"/>
      <c r="AJ50" s="229"/>
      <c r="AK50" s="229"/>
      <c r="AL50" s="229"/>
      <c r="AM50" s="229"/>
      <c r="AN50" s="154"/>
    </row>
    <row r="51" spans="1:40" s="20" customFormat="1" ht="14.25" x14ac:dyDescent="0.25">
      <c r="A51" s="110" t="s">
        <v>458</v>
      </c>
      <c r="B51" s="18"/>
      <c r="C51" s="18"/>
      <c r="D51" s="18"/>
      <c r="E51" s="18"/>
      <c r="F51" s="18"/>
      <c r="G51" s="18"/>
      <c r="H51" s="18"/>
      <c r="I51" s="18"/>
      <c r="J51" s="18"/>
      <c r="K51" s="18"/>
      <c r="L51" s="18"/>
      <c r="M51" s="18"/>
      <c r="N51" s="18"/>
      <c r="O51" s="18"/>
      <c r="P51" s="18"/>
      <c r="Q51" s="18"/>
      <c r="R51" s="18"/>
      <c r="S51" s="18"/>
      <c r="T51" s="18"/>
      <c r="U51" s="18"/>
      <c r="V51" s="155"/>
      <c r="W51" s="155"/>
      <c r="X51" s="155"/>
      <c r="Y51" s="155"/>
      <c r="Z51" s="155"/>
      <c r="AA51" s="155"/>
      <c r="AB51" s="155"/>
      <c r="AC51" s="155"/>
      <c r="AD51" s="155"/>
      <c r="AE51" s="315"/>
      <c r="AF51" s="315"/>
      <c r="AG51" s="315"/>
      <c r="AH51" s="315"/>
      <c r="AI51" s="315"/>
      <c r="AJ51" s="315"/>
      <c r="AK51" s="315"/>
      <c r="AL51" s="315"/>
      <c r="AM51" s="315"/>
      <c r="AN51" s="156"/>
    </row>
    <row r="52" spans="1:40" x14ac:dyDescent="0.2">
      <c r="B52" s="157"/>
      <c r="C52" s="157"/>
      <c r="V52" s="70"/>
      <c r="W52" s="70"/>
      <c r="X52" s="70"/>
      <c r="Y52" s="70"/>
      <c r="Z52" s="70"/>
      <c r="AA52" s="70"/>
      <c r="AB52" s="70"/>
      <c r="AC52" s="70"/>
      <c r="AD52" s="70"/>
    </row>
    <row r="54" spans="1:40" x14ac:dyDescent="0.2">
      <c r="A54" s="158"/>
    </row>
    <row r="55" spans="1:40" x14ac:dyDescent="0.2">
      <c r="A55" s="158"/>
    </row>
  </sheetData>
  <customSheetViews>
    <customSheetView guid="{0879B2E0-1447-4BF4-B278-DFA3BD4BF3E7}" scale="85" showPageBreaks="1" fitToPage="1" printArea="1" hiddenColumns="1" view="pageBreakPreview">
      <pane xSplit="1" ySplit="2" topLeftCell="B3" activePane="bottomRight" state="frozen"/>
      <selection pane="bottomRight"/>
      <pageMargins left="0.7" right="0.7" top="0.75" bottom="0.75" header="0.3" footer="0.3"/>
      <pageSetup paperSize="9" scale="53" orientation="landscape" r:id="rId1"/>
    </customSheetView>
    <customSheetView guid="{B24A12A4-9623-4099-956E-0B4C7C8D3F73}" scale="85" showPageBreaks="1" fitToPage="1" printArea="1" hiddenColumns="1" view="pageBreakPreview">
      <pane xSplit="1" ySplit="2" topLeftCell="B18" activePane="bottomRight" state="frozen"/>
      <selection pane="bottomRight" activeCell="O35" sqref="O35"/>
      <pageMargins left="0.7" right="0.7" top="0.75" bottom="0.75" header="0.3" footer="0.3"/>
      <pageSetup paperSize="9" scale="56" orientation="landscape" r:id="rId2"/>
    </customSheetView>
    <customSheetView guid="{93BA635E-1664-4099-8295-6B100E16362A}" scale="85" showPageBreaks="1" fitToPage="1" printArea="1" hiddenRows="1" hiddenColumns="1" view="pageBreakPreview">
      <pane xSplit="1" ySplit="2" topLeftCell="D3" activePane="bottomRight" state="frozen"/>
      <selection pane="bottomRight" activeCell="O11" sqref="O11"/>
      <pageMargins left="0.7" right="0.7" top="0.75" bottom="0.75" header="0.3" footer="0.3"/>
      <pageSetup paperSize="9" scale="56" orientation="landscape" r:id="rId3"/>
    </customSheetView>
  </customSheetViews>
  <hyperlinks>
    <hyperlink ref="AN2" location="MENU!A1" display="MENU"/>
  </hyperlinks>
  <pageMargins left="0.7" right="0.7" top="0.75" bottom="0.75" header="0.3" footer="0.3"/>
  <pageSetup paperSize="9" scale="43"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218113"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218113" r:id="rId10" name="FPMExcelClientSheetOptions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9">
    <tabColor rgb="FF236CB0"/>
    <pageSetUpPr fitToPage="1"/>
  </sheetPr>
  <dimension ref="A1:Y58"/>
  <sheetViews>
    <sheetView view="pageBreakPreview" topLeftCell="A19" zoomScaleNormal="85" zoomScaleSheetLayoutView="100" zoomScalePageLayoutView="85" workbookViewId="0">
      <selection activeCell="T42" sqref="T42:T46"/>
    </sheetView>
  </sheetViews>
  <sheetFormatPr defaultColWidth="8.85546875" defaultRowHeight="12.75" outlineLevelRow="1" x14ac:dyDescent="0.2"/>
  <cols>
    <col min="1" max="1" width="60.7109375" style="22" customWidth="1"/>
    <col min="2" max="21" width="7.7109375" style="64" customWidth="1"/>
    <col min="22" max="22" width="9.5703125" style="22" bestFit="1" customWidth="1"/>
    <col min="23" max="16384" width="8.85546875" style="22"/>
  </cols>
  <sheetData>
    <row r="1" spans="1:25" s="20" customFormat="1" ht="30" customHeight="1" thickBot="1" x14ac:dyDescent="0.3">
      <c r="A1" s="406" t="s">
        <v>9</v>
      </c>
      <c r="B1" s="409"/>
      <c r="C1" s="409"/>
      <c r="D1" s="409"/>
      <c r="E1" s="409"/>
      <c r="F1" s="409"/>
      <c r="G1" s="409"/>
      <c r="H1" s="409"/>
      <c r="I1" s="409"/>
      <c r="J1" s="409"/>
      <c r="K1" s="409"/>
      <c r="L1" s="409"/>
      <c r="M1" s="409"/>
      <c r="N1" s="409"/>
      <c r="O1" s="409"/>
      <c r="P1" s="409"/>
      <c r="Q1" s="409"/>
      <c r="R1" s="409"/>
      <c r="S1" s="428"/>
      <c r="T1" s="428"/>
      <c r="U1" s="428"/>
    </row>
    <row r="2" spans="1:25" s="20" customFormat="1" ht="30" customHeight="1" thickBot="1" x14ac:dyDescent="0.3">
      <c r="A2" s="408" t="s">
        <v>177</v>
      </c>
      <c r="B2" s="115">
        <v>2009</v>
      </c>
      <c r="C2" s="115" t="s">
        <v>208</v>
      </c>
      <c r="D2" s="115">
        <v>2010</v>
      </c>
      <c r="E2" s="115" t="s">
        <v>209</v>
      </c>
      <c r="F2" s="115">
        <v>2011</v>
      </c>
      <c r="G2" s="115" t="s">
        <v>210</v>
      </c>
      <c r="H2" s="115">
        <v>2012</v>
      </c>
      <c r="I2" s="115" t="s">
        <v>211</v>
      </c>
      <c r="J2" s="115">
        <v>2013</v>
      </c>
      <c r="K2" s="115" t="s">
        <v>212</v>
      </c>
      <c r="L2" s="115">
        <v>2014</v>
      </c>
      <c r="M2" s="115" t="s">
        <v>213</v>
      </c>
      <c r="N2" s="115">
        <v>2015</v>
      </c>
      <c r="O2" s="115" t="s">
        <v>343</v>
      </c>
      <c r="P2" s="115">
        <v>2016</v>
      </c>
      <c r="Q2" s="23" t="s">
        <v>405</v>
      </c>
      <c r="R2" s="23">
        <v>2017</v>
      </c>
      <c r="S2" s="23" t="s">
        <v>431</v>
      </c>
      <c r="T2" s="23">
        <v>2018</v>
      </c>
      <c r="U2" s="23" t="s">
        <v>577</v>
      </c>
      <c r="W2" s="116" t="s">
        <v>215</v>
      </c>
    </row>
    <row r="3" spans="1:25" ht="15" customHeight="1" x14ac:dyDescent="0.2">
      <c r="A3" s="164" t="s">
        <v>46</v>
      </c>
      <c r="B3" s="165"/>
      <c r="C3" s="165"/>
      <c r="D3" s="166"/>
      <c r="E3" s="166"/>
      <c r="F3" s="166"/>
      <c r="G3" s="166"/>
      <c r="H3" s="166"/>
      <c r="I3" s="165"/>
      <c r="J3" s="166"/>
      <c r="K3" s="166"/>
      <c r="L3" s="166"/>
      <c r="M3" s="166"/>
      <c r="N3" s="166"/>
      <c r="O3" s="166"/>
      <c r="P3" s="166"/>
      <c r="Q3" s="166"/>
      <c r="R3" s="166"/>
      <c r="S3" s="166"/>
      <c r="T3" s="166"/>
      <c r="U3" s="166"/>
    </row>
    <row r="4" spans="1:25" ht="15" customHeight="1" outlineLevel="1" x14ac:dyDescent="0.2">
      <c r="A4" s="167" t="s">
        <v>360</v>
      </c>
      <c r="B4" s="70" t="s">
        <v>207</v>
      </c>
      <c r="C4" s="70" t="s">
        <v>207</v>
      </c>
      <c r="D4" s="70" t="s">
        <v>207</v>
      </c>
      <c r="E4" s="70" t="s">
        <v>207</v>
      </c>
      <c r="F4" s="70" t="s">
        <v>207</v>
      </c>
      <c r="G4" s="70" t="s">
        <v>207</v>
      </c>
      <c r="H4" s="86">
        <v>9214</v>
      </c>
      <c r="I4" s="86">
        <v>4215</v>
      </c>
      <c r="J4" s="86">
        <v>8345</v>
      </c>
      <c r="K4" s="86">
        <v>4231</v>
      </c>
      <c r="L4" s="86">
        <v>8937</v>
      </c>
      <c r="M4" s="86">
        <v>3799.5813006996909</v>
      </c>
      <c r="N4" s="86">
        <v>6590</v>
      </c>
      <c r="O4" s="86">
        <v>2831</v>
      </c>
      <c r="P4" s="86">
        <v>6194</v>
      </c>
      <c r="Q4" s="86">
        <v>3420</v>
      </c>
      <c r="R4" s="86">
        <v>7554</v>
      </c>
      <c r="S4" s="394">
        <v>4816</v>
      </c>
      <c r="T4" s="86">
        <v>9742</v>
      </c>
      <c r="U4" s="394">
        <v>6117</v>
      </c>
      <c r="V4" s="159"/>
      <c r="W4" s="160"/>
      <c r="Y4" s="168"/>
    </row>
    <row r="5" spans="1:25" ht="15" customHeight="1" outlineLevel="1" x14ac:dyDescent="0.2">
      <c r="A5" s="167" t="s">
        <v>361</v>
      </c>
      <c r="B5" s="70" t="s">
        <v>207</v>
      </c>
      <c r="C5" s="70" t="s">
        <v>207</v>
      </c>
      <c r="D5" s="70" t="s">
        <v>207</v>
      </c>
      <c r="E5" s="70" t="s">
        <v>207</v>
      </c>
      <c r="F5" s="70" t="s">
        <v>207</v>
      </c>
      <c r="G5" s="70" t="s">
        <v>207</v>
      </c>
      <c r="H5" s="86">
        <v>1253</v>
      </c>
      <c r="I5" s="86">
        <v>535</v>
      </c>
      <c r="J5" s="86">
        <v>1005</v>
      </c>
      <c r="K5" s="86">
        <v>540</v>
      </c>
      <c r="L5" s="86">
        <v>1100</v>
      </c>
      <c r="M5" s="86">
        <v>410</v>
      </c>
      <c r="N5" s="86">
        <v>773</v>
      </c>
      <c r="O5" s="86">
        <v>284</v>
      </c>
      <c r="P5" s="86">
        <v>664</v>
      </c>
      <c r="Q5" s="86">
        <v>415</v>
      </c>
      <c r="R5" s="86">
        <v>829</v>
      </c>
      <c r="S5" s="394">
        <v>486</v>
      </c>
      <c r="T5" s="86">
        <v>911</v>
      </c>
      <c r="U5" s="394">
        <v>465</v>
      </c>
      <c r="V5" s="159"/>
      <c r="W5" s="160"/>
      <c r="Y5" s="168"/>
    </row>
    <row r="6" spans="1:25" ht="15" customHeight="1" outlineLevel="1" x14ac:dyDescent="0.2">
      <c r="A6" s="169" t="s">
        <v>49</v>
      </c>
      <c r="B6" s="170" t="s">
        <v>207</v>
      </c>
      <c r="C6" s="170" t="s">
        <v>207</v>
      </c>
      <c r="D6" s="170" t="s">
        <v>207</v>
      </c>
      <c r="E6" s="170" t="s">
        <v>207</v>
      </c>
      <c r="F6" s="170" t="s">
        <v>207</v>
      </c>
      <c r="G6" s="170" t="s">
        <v>207</v>
      </c>
      <c r="H6" s="170" t="s">
        <v>207</v>
      </c>
      <c r="I6" s="170" t="s">
        <v>207</v>
      </c>
      <c r="J6" s="86">
        <v>1004</v>
      </c>
      <c r="K6" s="86">
        <v>386</v>
      </c>
      <c r="L6" s="86">
        <v>986</v>
      </c>
      <c r="M6" s="86">
        <v>432</v>
      </c>
      <c r="N6" s="86">
        <v>757</v>
      </c>
      <c r="O6" s="86">
        <v>283</v>
      </c>
      <c r="P6" s="86">
        <v>727</v>
      </c>
      <c r="Q6" s="86">
        <v>355</v>
      </c>
      <c r="R6" s="86">
        <v>840</v>
      </c>
      <c r="S6" s="394">
        <v>486</v>
      </c>
      <c r="T6" s="86">
        <v>1026</v>
      </c>
      <c r="U6" s="394">
        <v>522</v>
      </c>
      <c r="W6" s="160"/>
      <c r="Y6" s="168"/>
    </row>
    <row r="7" spans="1:25" ht="15" customHeight="1" outlineLevel="1" x14ac:dyDescent="0.2">
      <c r="A7" s="169" t="s">
        <v>434</v>
      </c>
      <c r="B7" s="170" t="s">
        <v>207</v>
      </c>
      <c r="C7" s="170" t="s">
        <v>207</v>
      </c>
      <c r="D7" s="170" t="s">
        <v>207</v>
      </c>
      <c r="E7" s="170" t="s">
        <v>207</v>
      </c>
      <c r="F7" s="170" t="s">
        <v>207</v>
      </c>
      <c r="G7" s="170" t="s">
        <v>207</v>
      </c>
      <c r="H7" s="170" t="s">
        <v>207</v>
      </c>
      <c r="I7" s="170" t="s">
        <v>207</v>
      </c>
      <c r="J7" s="86" t="s">
        <v>207</v>
      </c>
      <c r="K7" s="86" t="s">
        <v>207</v>
      </c>
      <c r="L7" s="86" t="s">
        <v>207</v>
      </c>
      <c r="M7" s="86" t="s">
        <v>207</v>
      </c>
      <c r="N7" s="86" t="s">
        <v>207</v>
      </c>
      <c r="O7" s="86" t="s">
        <v>207</v>
      </c>
      <c r="P7" s="86" t="s">
        <v>207</v>
      </c>
      <c r="Q7" s="394">
        <v>0</v>
      </c>
      <c r="R7" s="86">
        <v>15</v>
      </c>
      <c r="S7" s="394">
        <v>0</v>
      </c>
      <c r="T7" s="86">
        <v>8</v>
      </c>
      <c r="U7" s="394">
        <v>1</v>
      </c>
      <c r="W7" s="160"/>
      <c r="Y7" s="168"/>
    </row>
    <row r="8" spans="1:25" ht="15" customHeight="1" outlineLevel="1" x14ac:dyDescent="0.2">
      <c r="A8" s="169" t="s">
        <v>440</v>
      </c>
      <c r="B8" s="70" t="s">
        <v>207</v>
      </c>
      <c r="C8" s="70" t="s">
        <v>207</v>
      </c>
      <c r="D8" s="70" t="s">
        <v>207</v>
      </c>
      <c r="E8" s="70" t="s">
        <v>207</v>
      </c>
      <c r="F8" s="70" t="s">
        <v>207</v>
      </c>
      <c r="G8" s="70" t="s">
        <v>207</v>
      </c>
      <c r="H8" s="86">
        <v>1492</v>
      </c>
      <c r="I8" s="86">
        <v>712</v>
      </c>
      <c r="J8" s="86">
        <v>221</v>
      </c>
      <c r="K8" s="86">
        <v>38</v>
      </c>
      <c r="L8" s="86">
        <v>154</v>
      </c>
      <c r="M8" s="86">
        <v>27</v>
      </c>
      <c r="N8" s="86">
        <v>30</v>
      </c>
      <c r="O8" s="86">
        <v>3</v>
      </c>
      <c r="P8" s="86">
        <v>84</v>
      </c>
      <c r="Q8" s="86" t="s">
        <v>207</v>
      </c>
      <c r="R8" s="86" t="s">
        <v>462</v>
      </c>
      <c r="S8" s="394" t="s">
        <v>207</v>
      </c>
      <c r="T8" s="86" t="s">
        <v>207</v>
      </c>
      <c r="U8" s="394" t="s">
        <v>207</v>
      </c>
      <c r="W8" s="160"/>
      <c r="Y8" s="168"/>
    </row>
    <row r="9" spans="1:25" ht="15" customHeight="1" outlineLevel="1" x14ac:dyDescent="0.2">
      <c r="A9" s="169" t="s">
        <v>433</v>
      </c>
      <c r="B9" s="70" t="s">
        <v>207</v>
      </c>
      <c r="C9" s="70" t="s">
        <v>207</v>
      </c>
      <c r="D9" s="70" t="s">
        <v>207</v>
      </c>
      <c r="E9" s="70" t="s">
        <v>207</v>
      </c>
      <c r="F9" s="70" t="s">
        <v>207</v>
      </c>
      <c r="G9" s="70" t="s">
        <v>207</v>
      </c>
      <c r="H9" s="86" t="s">
        <v>207</v>
      </c>
      <c r="I9" s="86" t="s">
        <v>207</v>
      </c>
      <c r="J9" s="86" t="s">
        <v>207</v>
      </c>
      <c r="K9" s="86" t="s">
        <v>207</v>
      </c>
      <c r="L9" s="86" t="s">
        <v>207</v>
      </c>
      <c r="M9" s="86" t="s">
        <v>207</v>
      </c>
      <c r="N9" s="86" t="s">
        <v>207</v>
      </c>
      <c r="O9" s="86" t="s">
        <v>207</v>
      </c>
      <c r="P9" s="86" t="s">
        <v>207</v>
      </c>
      <c r="Q9" s="86">
        <v>54</v>
      </c>
      <c r="R9" s="86">
        <v>128</v>
      </c>
      <c r="S9" s="394">
        <v>61</v>
      </c>
      <c r="T9" s="86">
        <v>108</v>
      </c>
      <c r="U9" s="394">
        <v>74</v>
      </c>
      <c r="V9" s="159"/>
      <c r="W9" s="160"/>
      <c r="Y9" s="168"/>
    </row>
    <row r="10" spans="1:25" ht="15" customHeight="1" outlineLevel="1" x14ac:dyDescent="0.2">
      <c r="A10" s="169" t="s">
        <v>362</v>
      </c>
      <c r="B10" s="70" t="s">
        <v>207</v>
      </c>
      <c r="C10" s="70" t="s">
        <v>207</v>
      </c>
      <c r="D10" s="70" t="s">
        <v>207</v>
      </c>
      <c r="E10" s="70" t="s">
        <v>207</v>
      </c>
      <c r="F10" s="70" t="s">
        <v>207</v>
      </c>
      <c r="G10" s="70" t="s">
        <v>207</v>
      </c>
      <c r="H10" s="86">
        <v>1131</v>
      </c>
      <c r="I10" s="86">
        <v>571</v>
      </c>
      <c r="J10" s="86">
        <v>2173</v>
      </c>
      <c r="K10" s="86">
        <v>1191</v>
      </c>
      <c r="L10" s="86">
        <v>1997</v>
      </c>
      <c r="M10" s="86">
        <v>636</v>
      </c>
      <c r="N10" s="86">
        <v>1182</v>
      </c>
      <c r="O10" s="86">
        <v>813</v>
      </c>
      <c r="P10" s="86">
        <v>1699</v>
      </c>
      <c r="Q10" s="86">
        <v>628</v>
      </c>
      <c r="R10" s="86">
        <v>1286</v>
      </c>
      <c r="S10" s="394">
        <v>813</v>
      </c>
      <c r="T10" s="86">
        <v>1514</v>
      </c>
      <c r="U10" s="394">
        <v>647</v>
      </c>
      <c r="V10" s="159"/>
      <c r="W10" s="160"/>
      <c r="Y10" s="168"/>
    </row>
    <row r="11" spans="1:25" ht="15" customHeight="1" outlineLevel="1" x14ac:dyDescent="0.2">
      <c r="A11" s="167" t="s">
        <v>363</v>
      </c>
      <c r="B11" s="70" t="s">
        <v>207</v>
      </c>
      <c r="C11" s="70" t="s">
        <v>207</v>
      </c>
      <c r="D11" s="70" t="s">
        <v>207</v>
      </c>
      <c r="E11" s="70" t="s">
        <v>207</v>
      </c>
      <c r="F11" s="70" t="s">
        <v>207</v>
      </c>
      <c r="G11" s="70" t="s">
        <v>207</v>
      </c>
      <c r="H11" s="27">
        <v>-724</v>
      </c>
      <c r="I11" s="27">
        <v>-347</v>
      </c>
      <c r="J11" s="27">
        <v>-1249</v>
      </c>
      <c r="K11" s="27">
        <v>-678</v>
      </c>
      <c r="L11" s="27">
        <v>-1305</v>
      </c>
      <c r="M11" s="27">
        <v>-398</v>
      </c>
      <c r="N11" s="27">
        <v>-790</v>
      </c>
      <c r="O11" s="27">
        <v>-371</v>
      </c>
      <c r="P11" s="27">
        <v>-1109</v>
      </c>
      <c r="Q11" s="308">
        <v>-624</v>
      </c>
      <c r="R11" s="308">
        <v>-1506</v>
      </c>
      <c r="S11" s="308">
        <v>-828</v>
      </c>
      <c r="T11" s="308">
        <v>-1639</v>
      </c>
      <c r="U11" s="308">
        <v>-1534</v>
      </c>
      <c r="V11" s="159"/>
      <c r="W11" s="160"/>
      <c r="Y11" s="168"/>
    </row>
    <row r="12" spans="1:25" ht="15" customHeight="1" x14ac:dyDescent="0.2">
      <c r="A12" s="171" t="s">
        <v>206</v>
      </c>
      <c r="B12" s="172" t="s">
        <v>207</v>
      </c>
      <c r="C12" s="172" t="s">
        <v>207</v>
      </c>
      <c r="D12" s="172" t="s">
        <v>207</v>
      </c>
      <c r="E12" s="172" t="s">
        <v>207</v>
      </c>
      <c r="F12" s="172" t="s">
        <v>207</v>
      </c>
      <c r="G12" s="172" t="s">
        <v>207</v>
      </c>
      <c r="H12" s="173">
        <v>12366</v>
      </c>
      <c r="I12" s="173">
        <v>5686</v>
      </c>
      <c r="J12" s="173">
        <v>11499</v>
      </c>
      <c r="K12" s="173">
        <v>5708</v>
      </c>
      <c r="L12" s="173">
        <v>11869</v>
      </c>
      <c r="M12" s="173">
        <v>4906.5813006996905</v>
      </c>
      <c r="N12" s="173">
        <v>8542</v>
      </c>
      <c r="O12" s="173">
        <v>3843</v>
      </c>
      <c r="P12" s="173">
        <v>8259</v>
      </c>
      <c r="Q12" s="173">
        <v>4248</v>
      </c>
      <c r="R12" s="173">
        <v>9146</v>
      </c>
      <c r="S12" s="429">
        <v>5834</v>
      </c>
      <c r="T12" s="173">
        <v>11670</v>
      </c>
      <c r="U12" s="173">
        <v>6292</v>
      </c>
      <c r="V12" s="161"/>
      <c r="W12" s="160"/>
      <c r="Y12" s="168"/>
    </row>
    <row r="13" spans="1:25" ht="15" customHeight="1" x14ac:dyDescent="0.2">
      <c r="A13" s="75" t="s">
        <v>627</v>
      </c>
      <c r="B13" s="174"/>
      <c r="C13" s="174"/>
      <c r="D13" s="174"/>
      <c r="E13" s="174"/>
      <c r="F13" s="174"/>
      <c r="G13" s="174"/>
      <c r="H13" s="174"/>
      <c r="I13" s="174"/>
      <c r="J13" s="174"/>
      <c r="K13" s="174"/>
      <c r="L13" s="174"/>
      <c r="M13" s="174"/>
      <c r="N13" s="174"/>
      <c r="O13" s="174"/>
      <c r="P13" s="174"/>
      <c r="Q13" s="174"/>
      <c r="R13" s="174"/>
      <c r="S13" s="174"/>
      <c r="T13" s="174"/>
      <c r="U13" s="174"/>
      <c r="V13" s="30"/>
      <c r="Y13" s="168"/>
    </row>
    <row r="14" spans="1:25" ht="15" customHeight="1" outlineLevel="1" x14ac:dyDescent="0.2">
      <c r="A14" s="395" t="s">
        <v>50</v>
      </c>
      <c r="B14" s="86">
        <v>4206</v>
      </c>
      <c r="C14" s="86">
        <v>3052</v>
      </c>
      <c r="D14" s="86">
        <v>6459</v>
      </c>
      <c r="E14" s="86">
        <v>3654</v>
      </c>
      <c r="F14" s="86">
        <v>6715</v>
      </c>
      <c r="G14" s="86">
        <v>2680</v>
      </c>
      <c r="H14" s="86">
        <v>5223</v>
      </c>
      <c r="I14" s="86">
        <v>2222</v>
      </c>
      <c r="J14" s="86">
        <v>4355</v>
      </c>
      <c r="K14" s="86">
        <v>2145</v>
      </c>
      <c r="L14" s="86">
        <v>4636</v>
      </c>
      <c r="M14" s="86">
        <v>1816</v>
      </c>
      <c r="N14" s="86">
        <v>3010</v>
      </c>
      <c r="O14" s="86">
        <v>1278</v>
      </c>
      <c r="P14" s="86">
        <v>2625</v>
      </c>
      <c r="Q14" s="86">
        <v>1114</v>
      </c>
      <c r="R14" s="86">
        <v>2416</v>
      </c>
      <c r="S14" s="394">
        <v>1494</v>
      </c>
      <c r="T14" s="86">
        <v>3013</v>
      </c>
      <c r="U14" s="394">
        <v>1499</v>
      </c>
      <c r="V14" s="30"/>
      <c r="Y14" s="168"/>
    </row>
    <row r="15" spans="1:25" ht="15" customHeight="1" outlineLevel="1" x14ac:dyDescent="0.2">
      <c r="A15" s="395" t="s">
        <v>439</v>
      </c>
      <c r="B15" s="86"/>
      <c r="C15" s="86"/>
      <c r="D15" s="86"/>
      <c r="E15" s="86"/>
      <c r="F15" s="86"/>
      <c r="G15" s="86"/>
      <c r="H15" s="86"/>
      <c r="I15" s="86"/>
      <c r="J15" s="86"/>
      <c r="K15" s="86"/>
      <c r="L15" s="86"/>
      <c r="M15" s="86"/>
      <c r="N15" s="86"/>
      <c r="O15" s="86"/>
      <c r="P15" s="86"/>
      <c r="Q15" s="86">
        <v>52</v>
      </c>
      <c r="R15" s="86">
        <v>113</v>
      </c>
      <c r="S15" s="394">
        <v>86</v>
      </c>
      <c r="T15" s="86">
        <v>175</v>
      </c>
      <c r="U15" s="394">
        <v>100</v>
      </c>
      <c r="V15" s="30"/>
      <c r="Y15" s="168"/>
    </row>
    <row r="16" spans="1:25" ht="15" customHeight="1" outlineLevel="1" x14ac:dyDescent="0.2">
      <c r="A16" s="395" t="s">
        <v>23</v>
      </c>
      <c r="B16" s="86">
        <v>2190</v>
      </c>
      <c r="C16" s="86">
        <v>1261</v>
      </c>
      <c r="D16" s="86">
        <v>2941</v>
      </c>
      <c r="E16" s="86">
        <v>1526</v>
      </c>
      <c r="F16" s="86">
        <v>3258</v>
      </c>
      <c r="G16" s="86">
        <v>1307</v>
      </c>
      <c r="H16" s="86">
        <v>2871</v>
      </c>
      <c r="I16" s="86">
        <v>1266</v>
      </c>
      <c r="J16" s="86">
        <v>2721</v>
      </c>
      <c r="K16" s="86">
        <v>1220</v>
      </c>
      <c r="L16" s="86">
        <v>2468</v>
      </c>
      <c r="M16" s="86">
        <v>1059</v>
      </c>
      <c r="N16" s="86">
        <v>1916</v>
      </c>
      <c r="O16" s="86">
        <v>862</v>
      </c>
      <c r="P16" s="86">
        <v>1839</v>
      </c>
      <c r="Q16" s="86">
        <v>1065</v>
      </c>
      <c r="R16" s="86">
        <v>2422</v>
      </c>
      <c r="S16" s="394">
        <v>1405</v>
      </c>
      <c r="T16" s="86">
        <v>2977</v>
      </c>
      <c r="U16" s="394">
        <v>1385</v>
      </c>
      <c r="V16" s="262"/>
      <c r="Y16" s="168"/>
    </row>
    <row r="17" spans="1:25" ht="15" customHeight="1" outlineLevel="1" x14ac:dyDescent="0.2">
      <c r="A17" s="395" t="s">
        <v>439</v>
      </c>
      <c r="B17" s="86"/>
      <c r="C17" s="86"/>
      <c r="D17" s="86"/>
      <c r="E17" s="86"/>
      <c r="F17" s="86"/>
      <c r="G17" s="86"/>
      <c r="H17" s="86"/>
      <c r="I17" s="86"/>
      <c r="J17" s="86"/>
      <c r="K17" s="86"/>
      <c r="L17" s="86"/>
      <c r="M17" s="86"/>
      <c r="N17" s="86"/>
      <c r="O17" s="86"/>
      <c r="P17" s="86"/>
      <c r="Q17" s="86">
        <v>44</v>
      </c>
      <c r="R17" s="86">
        <v>141</v>
      </c>
      <c r="S17" s="394">
        <v>69</v>
      </c>
      <c r="T17" s="86">
        <v>144</v>
      </c>
      <c r="U17" s="394">
        <v>108</v>
      </c>
      <c r="V17" s="262"/>
      <c r="Y17" s="168"/>
    </row>
    <row r="18" spans="1:25" ht="15" customHeight="1" outlineLevel="1" x14ac:dyDescent="0.2">
      <c r="A18" s="395" t="s">
        <v>24</v>
      </c>
      <c r="B18" s="86">
        <v>751</v>
      </c>
      <c r="C18" s="86">
        <v>667</v>
      </c>
      <c r="D18" s="86">
        <v>1479</v>
      </c>
      <c r="E18" s="86">
        <v>1078</v>
      </c>
      <c r="F18" s="86">
        <v>1985</v>
      </c>
      <c r="G18" s="86">
        <v>861</v>
      </c>
      <c r="H18" s="86">
        <v>1722</v>
      </c>
      <c r="I18" s="86">
        <v>954</v>
      </c>
      <c r="J18" s="86">
        <v>1935</v>
      </c>
      <c r="K18" s="86">
        <v>1124</v>
      </c>
      <c r="L18" s="86">
        <v>2221</v>
      </c>
      <c r="M18" s="86">
        <v>1035</v>
      </c>
      <c r="N18" s="86">
        <v>1807</v>
      </c>
      <c r="O18" s="86">
        <v>810</v>
      </c>
      <c r="P18" s="86">
        <v>1888</v>
      </c>
      <c r="Q18" s="86">
        <v>1206</v>
      </c>
      <c r="R18" s="86">
        <v>2434</v>
      </c>
      <c r="S18" s="394">
        <v>1950</v>
      </c>
      <c r="T18" s="86">
        <v>3674</v>
      </c>
      <c r="U18" s="394">
        <v>2374</v>
      </c>
      <c r="V18" s="30"/>
      <c r="Y18" s="168"/>
    </row>
    <row r="19" spans="1:25" ht="15" customHeight="1" outlineLevel="1" x14ac:dyDescent="0.2">
      <c r="A19" s="395" t="s">
        <v>439</v>
      </c>
      <c r="B19" s="86"/>
      <c r="C19" s="86"/>
      <c r="D19" s="86"/>
      <c r="E19" s="86"/>
      <c r="F19" s="86"/>
      <c r="G19" s="86"/>
      <c r="H19" s="86"/>
      <c r="I19" s="86"/>
      <c r="J19" s="86"/>
      <c r="K19" s="86"/>
      <c r="L19" s="86"/>
      <c r="M19" s="86"/>
      <c r="N19" s="86"/>
      <c r="O19" s="86"/>
      <c r="P19" s="86"/>
      <c r="Q19" s="86">
        <v>39</v>
      </c>
      <c r="R19" s="86">
        <v>87</v>
      </c>
      <c r="S19" s="394">
        <v>38</v>
      </c>
      <c r="T19" s="86">
        <v>98</v>
      </c>
      <c r="U19" s="394">
        <v>101</v>
      </c>
      <c r="V19" s="30"/>
      <c r="Y19" s="168"/>
    </row>
    <row r="20" spans="1:25" ht="15" customHeight="1" outlineLevel="1" x14ac:dyDescent="0.2">
      <c r="A20" s="395" t="s">
        <v>25</v>
      </c>
      <c r="B20" s="86">
        <v>794</v>
      </c>
      <c r="C20" s="86">
        <v>547</v>
      </c>
      <c r="D20" s="86">
        <v>1086</v>
      </c>
      <c r="E20" s="86">
        <v>606</v>
      </c>
      <c r="F20" s="86">
        <v>1145</v>
      </c>
      <c r="G20" s="86">
        <v>527</v>
      </c>
      <c r="H20" s="86">
        <v>1028</v>
      </c>
      <c r="I20" s="86">
        <v>489</v>
      </c>
      <c r="J20" s="86">
        <v>956</v>
      </c>
      <c r="K20" s="86">
        <v>469</v>
      </c>
      <c r="L20" s="86">
        <v>869</v>
      </c>
      <c r="M20" s="86">
        <v>372</v>
      </c>
      <c r="N20" s="86">
        <v>631</v>
      </c>
      <c r="O20" s="86">
        <v>347</v>
      </c>
      <c r="P20" s="86">
        <v>654</v>
      </c>
      <c r="Q20" s="86">
        <v>315</v>
      </c>
      <c r="R20" s="86">
        <v>654</v>
      </c>
      <c r="S20" s="394">
        <v>335</v>
      </c>
      <c r="T20" s="86">
        <v>596</v>
      </c>
      <c r="U20" s="394">
        <v>330</v>
      </c>
      <c r="V20" s="30"/>
      <c r="Y20" s="168"/>
    </row>
    <row r="21" spans="1:25" ht="15" customHeight="1" outlineLevel="1" x14ac:dyDescent="0.2">
      <c r="A21" s="395" t="s">
        <v>439</v>
      </c>
      <c r="B21" s="86"/>
      <c r="C21" s="86"/>
      <c r="D21" s="86"/>
      <c r="E21" s="86"/>
      <c r="F21" s="86"/>
      <c r="G21" s="86"/>
      <c r="H21" s="86"/>
      <c r="I21" s="86"/>
      <c r="J21" s="86"/>
      <c r="K21" s="86"/>
      <c r="L21" s="86"/>
      <c r="M21" s="86"/>
      <c r="N21" s="86"/>
      <c r="O21" s="86"/>
      <c r="P21" s="86"/>
      <c r="Q21" s="86">
        <v>15</v>
      </c>
      <c r="R21" s="86">
        <v>31</v>
      </c>
      <c r="S21" s="394">
        <v>9</v>
      </c>
      <c r="T21" s="86">
        <v>20</v>
      </c>
      <c r="U21" s="394">
        <v>15</v>
      </c>
      <c r="V21" s="30"/>
      <c r="Y21" s="168"/>
    </row>
    <row r="22" spans="1:25" ht="15" customHeight="1" outlineLevel="1" x14ac:dyDescent="0.2">
      <c r="A22" s="395" t="s">
        <v>478</v>
      </c>
      <c r="B22" s="86"/>
      <c r="C22" s="86"/>
      <c r="D22" s="86"/>
      <c r="E22" s="86"/>
      <c r="F22" s="86"/>
      <c r="G22" s="86"/>
      <c r="H22" s="86"/>
      <c r="I22" s="86"/>
      <c r="J22" s="86"/>
      <c r="K22" s="86"/>
      <c r="L22" s="86">
        <v>221</v>
      </c>
      <c r="M22" s="86">
        <v>103</v>
      </c>
      <c r="N22" s="86">
        <v>193</v>
      </c>
      <c r="O22" s="86">
        <v>88</v>
      </c>
      <c r="P22" s="86">
        <v>216</v>
      </c>
      <c r="Q22" s="86">
        <v>0</v>
      </c>
      <c r="R22" s="86">
        <v>0</v>
      </c>
      <c r="S22" s="394">
        <v>0</v>
      </c>
      <c r="T22" s="86">
        <v>0</v>
      </c>
      <c r="U22" s="394">
        <v>0</v>
      </c>
      <c r="V22" s="30"/>
      <c r="Y22" s="168"/>
    </row>
    <row r="23" spans="1:25" ht="15" customHeight="1" outlineLevel="1" x14ac:dyDescent="0.2">
      <c r="A23" s="395" t="s">
        <v>51</v>
      </c>
      <c r="B23" s="86">
        <v>134</v>
      </c>
      <c r="C23" s="86">
        <v>77</v>
      </c>
      <c r="D23" s="86">
        <v>161</v>
      </c>
      <c r="E23" s="86">
        <v>92</v>
      </c>
      <c r="F23" s="86">
        <v>194</v>
      </c>
      <c r="G23" s="86">
        <v>108</v>
      </c>
      <c r="H23" s="86">
        <v>518</v>
      </c>
      <c r="I23" s="86">
        <v>218</v>
      </c>
      <c r="J23" s="86">
        <v>450</v>
      </c>
      <c r="K23" s="86">
        <v>244</v>
      </c>
      <c r="L23" s="86">
        <v>481</v>
      </c>
      <c r="M23" s="86">
        <v>206</v>
      </c>
      <c r="N23" s="86">
        <v>326</v>
      </c>
      <c r="O23" s="86">
        <v>180</v>
      </c>
      <c r="P23" s="86">
        <v>424</v>
      </c>
      <c r="Q23" s="86">
        <v>196</v>
      </c>
      <c r="R23" s="86">
        <v>489</v>
      </c>
      <c r="S23" s="394">
        <v>289</v>
      </c>
      <c r="T23" s="86">
        <v>702</v>
      </c>
      <c r="U23" s="394">
        <v>352</v>
      </c>
      <c r="V23" s="30"/>
      <c r="Y23" s="168"/>
    </row>
    <row r="24" spans="1:25" ht="15" customHeight="1" outlineLevel="1" x14ac:dyDescent="0.2">
      <c r="A24" s="395" t="s">
        <v>439</v>
      </c>
      <c r="B24" s="175"/>
      <c r="C24" s="175"/>
      <c r="D24" s="175"/>
      <c r="E24" s="175"/>
      <c r="F24" s="175"/>
      <c r="G24" s="175"/>
      <c r="H24" s="175"/>
      <c r="I24" s="175"/>
      <c r="J24" s="175"/>
      <c r="K24" s="175"/>
      <c r="L24" s="175"/>
      <c r="M24" s="175"/>
      <c r="N24" s="175"/>
      <c r="O24" s="175"/>
      <c r="P24" s="175"/>
      <c r="Q24" s="175">
        <v>15</v>
      </c>
      <c r="R24" s="175">
        <v>52</v>
      </c>
      <c r="S24" s="175">
        <v>31</v>
      </c>
      <c r="T24" s="175">
        <v>55</v>
      </c>
      <c r="U24" s="175">
        <v>42</v>
      </c>
      <c r="V24" s="30"/>
      <c r="Y24" s="168"/>
    </row>
    <row r="25" spans="1:25" ht="15" customHeight="1" x14ac:dyDescent="0.2">
      <c r="A25" s="176" t="s">
        <v>22</v>
      </c>
      <c r="B25" s="177">
        <v>8075</v>
      </c>
      <c r="C25" s="177">
        <v>5604</v>
      </c>
      <c r="D25" s="177">
        <v>12126</v>
      </c>
      <c r="E25" s="177">
        <v>6956</v>
      </c>
      <c r="F25" s="177">
        <v>13297</v>
      </c>
      <c r="G25" s="177">
        <v>5483</v>
      </c>
      <c r="H25" s="177">
        <v>11362</v>
      </c>
      <c r="I25" s="177">
        <v>5149</v>
      </c>
      <c r="J25" s="177">
        <v>10417</v>
      </c>
      <c r="K25" s="177">
        <v>5202</v>
      </c>
      <c r="L25" s="177">
        <v>10896</v>
      </c>
      <c r="M25" s="177">
        <v>4591</v>
      </c>
      <c r="N25" s="177">
        <v>7883</v>
      </c>
      <c r="O25" s="177">
        <v>3565</v>
      </c>
      <c r="P25" s="177">
        <v>7646</v>
      </c>
      <c r="Q25" s="177">
        <v>3896</v>
      </c>
      <c r="R25" s="177">
        <v>8415</v>
      </c>
      <c r="S25" s="177">
        <v>5473</v>
      </c>
      <c r="T25" s="177">
        <v>10962</v>
      </c>
      <c r="U25" s="177">
        <v>5940</v>
      </c>
      <c r="V25" s="30"/>
      <c r="Y25" s="168"/>
    </row>
    <row r="26" spans="1:25" ht="15" customHeight="1" x14ac:dyDescent="0.2">
      <c r="A26" s="178" t="s">
        <v>616</v>
      </c>
      <c r="B26" s="86"/>
      <c r="C26" s="86"/>
      <c r="D26" s="86"/>
      <c r="E26" s="86"/>
      <c r="F26" s="86"/>
      <c r="G26" s="86"/>
      <c r="H26" s="86"/>
      <c r="I26" s="86"/>
      <c r="J26" s="86"/>
      <c r="K26" s="86"/>
      <c r="L26" s="86"/>
      <c r="M26" s="86"/>
      <c r="N26" s="86"/>
      <c r="O26" s="86"/>
      <c r="P26" s="86"/>
      <c r="Q26" s="86"/>
      <c r="R26" s="86"/>
      <c r="S26" s="394"/>
      <c r="T26" s="86"/>
      <c r="U26" s="394"/>
      <c r="V26" s="30"/>
      <c r="Y26" s="168"/>
    </row>
    <row r="27" spans="1:25" ht="15" customHeight="1" outlineLevel="1" x14ac:dyDescent="0.2">
      <c r="A27" s="167" t="s">
        <v>50</v>
      </c>
      <c r="B27" s="119">
        <v>0.52086687306501545</v>
      </c>
      <c r="C27" s="119">
        <v>0.54461099214846542</v>
      </c>
      <c r="D27" s="119">
        <v>0.53265710044532411</v>
      </c>
      <c r="E27" s="119">
        <v>0.52530189764232316</v>
      </c>
      <c r="F27" s="119">
        <v>0.50500112807400166</v>
      </c>
      <c r="G27" s="119">
        <v>0.4887835126755426</v>
      </c>
      <c r="H27" s="119">
        <v>0.45969019538813588</v>
      </c>
      <c r="I27" s="119">
        <v>0.43154010487473293</v>
      </c>
      <c r="J27" s="119">
        <v>0.41806662186810023</v>
      </c>
      <c r="K27" s="119">
        <v>0.41234140715109574</v>
      </c>
      <c r="L27" s="119">
        <v>0.42547723935389131</v>
      </c>
      <c r="M27" s="119">
        <v>0.39555652363319538</v>
      </c>
      <c r="N27" s="119">
        <v>0.38</v>
      </c>
      <c r="O27" s="119">
        <v>0.36</v>
      </c>
      <c r="P27" s="119">
        <v>0.34</v>
      </c>
      <c r="Q27" s="119">
        <v>0.28593429158110883</v>
      </c>
      <c r="R27" s="119">
        <v>0.28000000000000003</v>
      </c>
      <c r="S27" s="119">
        <v>0.27297642974602593</v>
      </c>
      <c r="T27" s="119">
        <v>0.28000000000000003</v>
      </c>
      <c r="U27" s="119">
        <v>0.25235690235690234</v>
      </c>
      <c r="V27" s="30"/>
      <c r="Y27" s="168"/>
    </row>
    <row r="28" spans="1:25" ht="15" customHeight="1" outlineLevel="1" x14ac:dyDescent="0.2">
      <c r="A28" s="167" t="s">
        <v>23</v>
      </c>
      <c r="B28" s="119">
        <v>0.27120743034055728</v>
      </c>
      <c r="C28" s="119">
        <v>0.22501784439685937</v>
      </c>
      <c r="D28" s="119">
        <v>0.24253669800428831</v>
      </c>
      <c r="E28" s="119">
        <v>0.21937895342150662</v>
      </c>
      <c r="F28" s="119">
        <v>0.24501767315935927</v>
      </c>
      <c r="G28" s="119">
        <v>0.23837315338318438</v>
      </c>
      <c r="H28" s="119">
        <v>0.25268438655166342</v>
      </c>
      <c r="I28" s="119">
        <v>0.24587298504563992</v>
      </c>
      <c r="J28" s="119">
        <v>0.26120764135547664</v>
      </c>
      <c r="K28" s="119">
        <v>0.23452518262206842</v>
      </c>
      <c r="L28" s="119">
        <v>0.22650513950073423</v>
      </c>
      <c r="M28" s="119">
        <v>0.23066869962971032</v>
      </c>
      <c r="N28" s="119">
        <v>0.24</v>
      </c>
      <c r="O28" s="119">
        <v>0.24</v>
      </c>
      <c r="P28" s="119">
        <v>0.24</v>
      </c>
      <c r="Q28" s="119">
        <v>0.27335728952772076</v>
      </c>
      <c r="R28" s="119">
        <v>0.28999999999999998</v>
      </c>
      <c r="S28" s="119">
        <v>0.25671478165539924</v>
      </c>
      <c r="T28" s="119">
        <v>0.27</v>
      </c>
      <c r="U28" s="119">
        <v>0.23316498316498316</v>
      </c>
      <c r="V28" s="30"/>
      <c r="Y28" s="168"/>
    </row>
    <row r="29" spans="1:25" ht="15" customHeight="1" outlineLevel="1" x14ac:dyDescent="0.2">
      <c r="A29" s="167" t="s">
        <v>24</v>
      </c>
      <c r="B29" s="119">
        <v>9.3003095975232195E-2</v>
      </c>
      <c r="C29" s="119">
        <v>0.11902212705210564</v>
      </c>
      <c r="D29" s="119">
        <v>0.12196932211776348</v>
      </c>
      <c r="E29" s="119">
        <v>0.15497412305922945</v>
      </c>
      <c r="F29" s="119">
        <v>0.1492817928856133</v>
      </c>
      <c r="G29" s="119">
        <v>0.1570308225424038</v>
      </c>
      <c r="H29" s="119">
        <v>0.15155782432670303</v>
      </c>
      <c r="I29" s="119">
        <v>0.18527869489221208</v>
      </c>
      <c r="J29" s="119">
        <v>0.18575405587021215</v>
      </c>
      <c r="K29" s="119">
        <v>0.21607074202229912</v>
      </c>
      <c r="L29" s="119">
        <v>0.20383627019089573</v>
      </c>
      <c r="M29" s="119">
        <v>0.22544108037464605</v>
      </c>
      <c r="N29" s="119">
        <v>0.23</v>
      </c>
      <c r="O29" s="119">
        <v>0.23</v>
      </c>
      <c r="P29" s="119">
        <v>0.25</v>
      </c>
      <c r="Q29" s="119">
        <v>0.3095482546201232</v>
      </c>
      <c r="R29" s="119">
        <v>0.28999999999999998</v>
      </c>
      <c r="S29" s="119">
        <v>0.35629453681710216</v>
      </c>
      <c r="T29" s="119">
        <v>0.34</v>
      </c>
      <c r="U29" s="119">
        <v>0.39966329966329966</v>
      </c>
      <c r="V29" s="30"/>
      <c r="Y29" s="168"/>
    </row>
    <row r="30" spans="1:25" ht="15" customHeight="1" outlineLevel="1" x14ac:dyDescent="0.2">
      <c r="A30" s="167" t="s">
        <v>25</v>
      </c>
      <c r="B30" s="119">
        <v>9.8328173374612998E-2</v>
      </c>
      <c r="C30" s="119">
        <v>9.7608850820842252E-2</v>
      </c>
      <c r="D30" s="119">
        <v>8.9559623948540321E-2</v>
      </c>
      <c r="E30" s="119">
        <v>8.7119033927544567E-2</v>
      </c>
      <c r="F30" s="119">
        <v>8.6109648792960819E-2</v>
      </c>
      <c r="G30" s="119">
        <v>9.6115265365675731E-2</v>
      </c>
      <c r="H30" s="119">
        <v>9.0477028692131672E-2</v>
      </c>
      <c r="I30" s="119">
        <v>9.4969897067391729E-2</v>
      </c>
      <c r="J30" s="119">
        <v>9.1773063261975624E-2</v>
      </c>
      <c r="K30" s="119">
        <v>9.0157631680123029E-2</v>
      </c>
      <c r="L30" s="119">
        <v>7.9754038179148307E-2</v>
      </c>
      <c r="M30" s="119">
        <v>8.102809845349597E-2</v>
      </c>
      <c r="N30" s="119">
        <v>0.08</v>
      </c>
      <c r="O30" s="119">
        <v>0.1</v>
      </c>
      <c r="P30" s="119">
        <v>0.09</v>
      </c>
      <c r="Q30" s="119">
        <v>8.0852156057494864E-2</v>
      </c>
      <c r="R30" s="119">
        <v>0.08</v>
      </c>
      <c r="S30" s="119">
        <v>6.1209574273707289E-2</v>
      </c>
      <c r="T30" s="119">
        <v>0.05</v>
      </c>
      <c r="U30" s="119">
        <v>5.5555555555555552E-2</v>
      </c>
      <c r="V30" s="30"/>
      <c r="Y30" s="168"/>
    </row>
    <row r="31" spans="1:25" ht="15" customHeight="1" outlineLevel="1" x14ac:dyDescent="0.2">
      <c r="A31" s="167" t="s">
        <v>478</v>
      </c>
      <c r="B31" s="119"/>
      <c r="C31" s="119"/>
      <c r="D31" s="119"/>
      <c r="E31" s="119"/>
      <c r="F31" s="119"/>
      <c r="G31" s="119"/>
      <c r="H31" s="119"/>
      <c r="I31" s="119"/>
      <c r="J31" s="119"/>
      <c r="K31" s="119"/>
      <c r="L31" s="119">
        <v>2.0282672540381793E-2</v>
      </c>
      <c r="M31" s="119">
        <v>2.2435199302984099E-2</v>
      </c>
      <c r="N31" s="119">
        <v>0.02</v>
      </c>
      <c r="O31" s="119">
        <v>0.02</v>
      </c>
      <c r="P31" s="119">
        <v>0.03</v>
      </c>
      <c r="Q31" s="119">
        <v>0</v>
      </c>
      <c r="R31" s="119">
        <v>0</v>
      </c>
      <c r="S31" s="119">
        <v>0</v>
      </c>
      <c r="T31" s="119">
        <v>0</v>
      </c>
      <c r="U31" s="119">
        <v>0</v>
      </c>
      <c r="V31" s="30"/>
      <c r="Y31" s="168"/>
    </row>
    <row r="32" spans="1:25" ht="15" customHeight="1" outlineLevel="1" x14ac:dyDescent="0.2">
      <c r="A32" s="167" t="s">
        <v>51</v>
      </c>
      <c r="B32" s="119">
        <v>1.6594427244582044E-2</v>
      </c>
      <c r="C32" s="119">
        <v>1.3740185581727338E-2</v>
      </c>
      <c r="D32" s="119">
        <v>1.3277255484083787E-2</v>
      </c>
      <c r="E32" s="119">
        <v>1.3225991949396205E-2</v>
      </c>
      <c r="F32" s="119">
        <v>1.4589757088064977E-2</v>
      </c>
      <c r="G32" s="119">
        <v>1.9697246033193509E-2</v>
      </c>
      <c r="H32" s="119">
        <v>4.5590565041365959E-2</v>
      </c>
      <c r="I32" s="119">
        <v>4.2338318120023304E-2</v>
      </c>
      <c r="J32" s="119">
        <v>4.3198617644235382E-2</v>
      </c>
      <c r="K32" s="119">
        <v>4.690503652441369E-2</v>
      </c>
      <c r="L32" s="119">
        <v>4.4144640234948608E-2</v>
      </c>
      <c r="M32" s="119">
        <v>4.4870398605968198E-2</v>
      </c>
      <c r="N32" s="119">
        <v>0.05</v>
      </c>
      <c r="O32" s="119">
        <v>0.05</v>
      </c>
      <c r="P32" s="119">
        <v>0.05</v>
      </c>
      <c r="Q32" s="119">
        <v>5.0308008213552365E-2</v>
      </c>
      <c r="R32" s="119">
        <v>0.06</v>
      </c>
      <c r="S32" s="119">
        <v>5.2804677507765393E-2</v>
      </c>
      <c r="T32" s="119">
        <v>0.06</v>
      </c>
      <c r="U32" s="119">
        <v>5.9259259259259262E-2</v>
      </c>
      <c r="V32" s="30"/>
      <c r="Y32" s="168"/>
    </row>
    <row r="33" spans="1:25" ht="15" customHeight="1" x14ac:dyDescent="0.2">
      <c r="A33" s="176" t="s">
        <v>281</v>
      </c>
      <c r="B33" s="179">
        <v>0.99999999999999989</v>
      </c>
      <c r="C33" s="179">
        <v>1</v>
      </c>
      <c r="D33" s="179">
        <v>1</v>
      </c>
      <c r="E33" s="179">
        <v>1</v>
      </c>
      <c r="F33" s="179">
        <v>1</v>
      </c>
      <c r="G33" s="179">
        <v>1</v>
      </c>
      <c r="H33" s="179">
        <v>1</v>
      </c>
      <c r="I33" s="179">
        <v>0.99999999999999989</v>
      </c>
      <c r="J33" s="179">
        <v>1</v>
      </c>
      <c r="K33" s="179">
        <v>1</v>
      </c>
      <c r="L33" s="179">
        <v>0.99999999999999989</v>
      </c>
      <c r="M33" s="179">
        <v>1</v>
      </c>
      <c r="N33" s="179">
        <v>1</v>
      </c>
      <c r="O33" s="179">
        <v>1</v>
      </c>
      <c r="P33" s="179">
        <v>1</v>
      </c>
      <c r="Q33" s="179">
        <v>1</v>
      </c>
      <c r="R33" s="179">
        <v>1</v>
      </c>
      <c r="S33" s="430">
        <v>1</v>
      </c>
      <c r="T33" s="179">
        <v>1</v>
      </c>
      <c r="U33" s="179">
        <v>0.99999999999999989</v>
      </c>
      <c r="V33" s="30"/>
      <c r="Y33" s="168"/>
    </row>
    <row r="34" spans="1:25" ht="15" customHeight="1" x14ac:dyDescent="0.2">
      <c r="A34" s="180" t="s">
        <v>615</v>
      </c>
      <c r="B34" s="174"/>
      <c r="C34" s="174"/>
      <c r="D34" s="174"/>
      <c r="E34" s="174"/>
      <c r="F34" s="174"/>
      <c r="G34" s="174"/>
      <c r="H34" s="174"/>
      <c r="I34" s="174"/>
      <c r="J34" s="174"/>
      <c r="K34" s="174"/>
      <c r="L34" s="174"/>
      <c r="M34" s="174"/>
      <c r="N34" s="174"/>
      <c r="O34" s="174"/>
      <c r="P34" s="174"/>
      <c r="Q34" s="174"/>
      <c r="R34" s="174"/>
      <c r="S34" s="174"/>
      <c r="T34" s="174"/>
      <c r="U34" s="174"/>
      <c r="V34" s="30"/>
      <c r="Y34" s="168"/>
    </row>
    <row r="35" spans="1:25" ht="15" customHeight="1" outlineLevel="1" x14ac:dyDescent="0.2">
      <c r="A35" s="167" t="s">
        <v>52</v>
      </c>
      <c r="B35" s="181">
        <v>4475</v>
      </c>
      <c r="C35" s="170" t="s">
        <v>207</v>
      </c>
      <c r="D35" s="86">
        <v>6801</v>
      </c>
      <c r="E35" s="86" t="s">
        <v>207</v>
      </c>
      <c r="F35" s="86">
        <v>7263</v>
      </c>
      <c r="G35" s="86" t="s">
        <v>207</v>
      </c>
      <c r="H35" s="86">
        <v>6267</v>
      </c>
      <c r="I35" s="83">
        <v>2816</v>
      </c>
      <c r="J35" s="83">
        <v>5434</v>
      </c>
      <c r="K35" s="83">
        <v>2687</v>
      </c>
      <c r="L35" s="83">
        <v>5470</v>
      </c>
      <c r="M35" s="83">
        <v>2774</v>
      </c>
      <c r="N35" s="86">
        <v>4698</v>
      </c>
      <c r="O35" s="86">
        <v>2030</v>
      </c>
      <c r="P35" s="86">
        <v>4394</v>
      </c>
      <c r="Q35" s="86">
        <v>2160</v>
      </c>
      <c r="R35" s="86">
        <v>4753</v>
      </c>
      <c r="S35" s="394">
        <v>3125</v>
      </c>
      <c r="T35" s="86">
        <v>5868</v>
      </c>
      <c r="U35" s="394">
        <v>3315</v>
      </c>
      <c r="V35" s="30"/>
      <c r="Y35" s="168"/>
    </row>
    <row r="36" spans="1:25" ht="15" customHeight="1" outlineLevel="1" x14ac:dyDescent="0.2">
      <c r="A36" s="167" t="s">
        <v>53</v>
      </c>
      <c r="B36" s="181">
        <v>1923</v>
      </c>
      <c r="C36" s="170" t="s">
        <v>207</v>
      </c>
      <c r="D36" s="86">
        <v>2649</v>
      </c>
      <c r="E36" s="86" t="s">
        <v>207</v>
      </c>
      <c r="F36" s="86">
        <v>3021</v>
      </c>
      <c r="G36" s="86" t="s">
        <v>207</v>
      </c>
      <c r="H36" s="86">
        <v>2773</v>
      </c>
      <c r="I36" s="83">
        <v>1297</v>
      </c>
      <c r="J36" s="83">
        <v>2980</v>
      </c>
      <c r="K36" s="83">
        <v>1566</v>
      </c>
      <c r="L36" s="83">
        <v>3508</v>
      </c>
      <c r="M36" s="83">
        <v>1214</v>
      </c>
      <c r="N36" s="86">
        <v>2110</v>
      </c>
      <c r="O36" s="86">
        <v>788</v>
      </c>
      <c r="P36" s="86">
        <v>1723</v>
      </c>
      <c r="Q36" s="86">
        <v>900</v>
      </c>
      <c r="R36" s="86">
        <v>1939</v>
      </c>
      <c r="S36" s="394">
        <v>1406</v>
      </c>
      <c r="T36" s="86">
        <v>2929</v>
      </c>
      <c r="U36" s="394">
        <v>1456</v>
      </c>
      <c r="V36" s="30"/>
      <c r="Y36" s="168"/>
    </row>
    <row r="37" spans="1:25" ht="15" customHeight="1" outlineLevel="1" x14ac:dyDescent="0.2">
      <c r="A37" s="167" t="s">
        <v>370</v>
      </c>
      <c r="B37" s="181">
        <v>1108</v>
      </c>
      <c r="C37" s="170" t="s">
        <v>207</v>
      </c>
      <c r="D37" s="86">
        <v>1663</v>
      </c>
      <c r="E37" s="86" t="s">
        <v>207</v>
      </c>
      <c r="F37" s="86">
        <v>1709</v>
      </c>
      <c r="G37" s="86" t="s">
        <v>207</v>
      </c>
      <c r="H37" s="86">
        <v>1290</v>
      </c>
      <c r="I37" s="83">
        <v>534</v>
      </c>
      <c r="J37" s="83">
        <v>973</v>
      </c>
      <c r="K37" s="83">
        <v>477</v>
      </c>
      <c r="L37" s="83">
        <v>956</v>
      </c>
      <c r="M37" s="83">
        <v>390</v>
      </c>
      <c r="N37" s="86">
        <v>613</v>
      </c>
      <c r="O37" s="86">
        <v>262</v>
      </c>
      <c r="P37" s="86">
        <v>737</v>
      </c>
      <c r="Q37" s="86">
        <v>571</v>
      </c>
      <c r="R37" s="86">
        <v>1166</v>
      </c>
      <c r="S37" s="394">
        <v>674</v>
      </c>
      <c r="T37" s="86">
        <v>1619</v>
      </c>
      <c r="U37" s="394">
        <v>913</v>
      </c>
      <c r="V37" s="30"/>
      <c r="Y37" s="168"/>
    </row>
    <row r="38" spans="1:25" ht="15" customHeight="1" outlineLevel="1" x14ac:dyDescent="0.2">
      <c r="A38" s="167" t="s">
        <v>54</v>
      </c>
      <c r="B38" s="181">
        <v>513</v>
      </c>
      <c r="C38" s="170" t="s">
        <v>207</v>
      </c>
      <c r="D38" s="86">
        <v>1008</v>
      </c>
      <c r="E38" s="86" t="s">
        <v>207</v>
      </c>
      <c r="F38" s="86">
        <v>1300</v>
      </c>
      <c r="G38" s="86" t="s">
        <v>207</v>
      </c>
      <c r="H38" s="86">
        <v>1028</v>
      </c>
      <c r="I38" s="83">
        <v>502</v>
      </c>
      <c r="J38" s="83">
        <v>1030</v>
      </c>
      <c r="K38" s="83">
        <v>472</v>
      </c>
      <c r="L38" s="83">
        <v>962</v>
      </c>
      <c r="M38" s="83">
        <v>213</v>
      </c>
      <c r="N38" s="86">
        <v>462</v>
      </c>
      <c r="O38" s="86">
        <v>485</v>
      </c>
      <c r="P38" s="86">
        <v>792</v>
      </c>
      <c r="Q38" s="86">
        <v>265</v>
      </c>
      <c r="R38" s="86">
        <v>557</v>
      </c>
      <c r="S38" s="394">
        <v>268</v>
      </c>
      <c r="T38" s="86">
        <v>546</v>
      </c>
      <c r="U38" s="394">
        <v>256</v>
      </c>
      <c r="V38" s="30"/>
      <c r="Y38" s="168"/>
    </row>
    <row r="39" spans="1:25" ht="15" customHeight="1" outlineLevel="1" x14ac:dyDescent="0.2">
      <c r="A39" s="167" t="s">
        <v>27</v>
      </c>
      <c r="B39" s="181">
        <v>56</v>
      </c>
      <c r="C39" s="170" t="s">
        <v>207</v>
      </c>
      <c r="D39" s="86">
        <v>5</v>
      </c>
      <c r="E39" s="86" t="s">
        <v>207</v>
      </c>
      <c r="F39" s="86">
        <v>4</v>
      </c>
      <c r="G39" s="86" t="s">
        <v>207</v>
      </c>
      <c r="H39" s="86">
        <v>4</v>
      </c>
      <c r="I39" s="83"/>
      <c r="J39" s="83">
        <v>0</v>
      </c>
      <c r="K39" s="83">
        <v>0</v>
      </c>
      <c r="L39" s="83">
        <v>0</v>
      </c>
      <c r="M39" s="83">
        <v>0</v>
      </c>
      <c r="N39" s="86">
        <v>0</v>
      </c>
      <c r="O39" s="86">
        <v>0</v>
      </c>
      <c r="P39" s="86">
        <v>0</v>
      </c>
      <c r="Q39" s="86">
        <v>0</v>
      </c>
      <c r="R39" s="86">
        <v>0</v>
      </c>
      <c r="S39" s="394">
        <v>0</v>
      </c>
      <c r="T39" s="86">
        <v>0</v>
      </c>
      <c r="U39" s="394">
        <v>0</v>
      </c>
      <c r="V39" s="30"/>
      <c r="Y39" s="168"/>
    </row>
    <row r="40" spans="1:25" s="25" customFormat="1" ht="15" customHeight="1" x14ac:dyDescent="0.2">
      <c r="A40" s="120" t="s">
        <v>22</v>
      </c>
      <c r="B40" s="173">
        <v>8075</v>
      </c>
      <c r="C40" s="173" t="s">
        <v>207</v>
      </c>
      <c r="D40" s="173">
        <v>12126</v>
      </c>
      <c r="E40" s="173" t="s">
        <v>207</v>
      </c>
      <c r="F40" s="173">
        <v>13297</v>
      </c>
      <c r="G40" s="173" t="s">
        <v>207</v>
      </c>
      <c r="H40" s="182">
        <v>11362</v>
      </c>
      <c r="I40" s="182">
        <v>5149</v>
      </c>
      <c r="J40" s="182">
        <v>10417</v>
      </c>
      <c r="K40" s="182">
        <v>5202</v>
      </c>
      <c r="L40" s="182">
        <v>10896</v>
      </c>
      <c r="M40" s="182">
        <v>4591</v>
      </c>
      <c r="N40" s="182">
        <v>7883</v>
      </c>
      <c r="O40" s="182">
        <v>3565</v>
      </c>
      <c r="P40" s="182">
        <v>7646</v>
      </c>
      <c r="Q40" s="173">
        <v>3896</v>
      </c>
      <c r="R40" s="173">
        <v>8415</v>
      </c>
      <c r="S40" s="429">
        <v>5473</v>
      </c>
      <c r="T40" s="173">
        <v>10962</v>
      </c>
      <c r="U40" s="173">
        <v>5940</v>
      </c>
      <c r="V40" s="146"/>
      <c r="Y40" s="183"/>
    </row>
    <row r="41" spans="1:25" s="25" customFormat="1" ht="15" customHeight="1" x14ac:dyDescent="0.2">
      <c r="A41" s="120" t="s">
        <v>477</v>
      </c>
      <c r="B41" s="177"/>
      <c r="C41" s="177"/>
      <c r="D41" s="177"/>
      <c r="E41" s="177"/>
      <c r="F41" s="177"/>
      <c r="G41" s="177"/>
      <c r="H41" s="184"/>
      <c r="I41" s="184"/>
      <c r="J41" s="184"/>
      <c r="K41" s="184"/>
      <c r="L41" s="184"/>
      <c r="M41" s="184"/>
      <c r="N41" s="184"/>
      <c r="O41" s="184"/>
      <c r="P41" s="184"/>
      <c r="Q41" s="184"/>
      <c r="R41" s="184"/>
      <c r="S41" s="184"/>
      <c r="T41" s="184"/>
      <c r="U41" s="184"/>
      <c r="V41" s="146"/>
      <c r="Y41" s="183"/>
    </row>
    <row r="42" spans="1:25" ht="15" customHeight="1" outlineLevel="1" x14ac:dyDescent="0.2">
      <c r="A42" s="167" t="s">
        <v>52</v>
      </c>
      <c r="B42" s="119">
        <v>0.55417956656346745</v>
      </c>
      <c r="C42" s="149" t="s">
        <v>207</v>
      </c>
      <c r="D42" s="119">
        <v>0.56086095992083129</v>
      </c>
      <c r="E42" s="149" t="s">
        <v>207</v>
      </c>
      <c r="F42" s="119">
        <v>0.54621343160111302</v>
      </c>
      <c r="G42" s="119" t="s">
        <v>207</v>
      </c>
      <c r="H42" s="119">
        <v>0.5515754268614681</v>
      </c>
      <c r="I42" s="185">
        <v>0.55000000000000004</v>
      </c>
      <c r="J42" s="185">
        <v>0.52164730728616682</v>
      </c>
      <c r="K42" s="185">
        <v>0.51653210303729336</v>
      </c>
      <c r="L42" s="185">
        <v>0.5</v>
      </c>
      <c r="M42" s="185">
        <v>0.6</v>
      </c>
      <c r="N42" s="185">
        <v>0.59</v>
      </c>
      <c r="O42" s="185">
        <v>0.56999999999999995</v>
      </c>
      <c r="P42" s="185">
        <v>0.56999999999999995</v>
      </c>
      <c r="Q42" s="185">
        <v>0.55000000000000004</v>
      </c>
      <c r="R42" s="185">
        <v>0.56000000000000005</v>
      </c>
      <c r="S42" s="185">
        <v>0.56999999999999995</v>
      </c>
      <c r="T42" s="185">
        <v>0.53</v>
      </c>
      <c r="U42" s="185">
        <v>0.56000000000000005</v>
      </c>
      <c r="V42" s="30"/>
      <c r="Y42" s="168"/>
    </row>
    <row r="43" spans="1:25" ht="15" customHeight="1" outlineLevel="1" x14ac:dyDescent="0.2">
      <c r="A43" s="167" t="s">
        <v>53</v>
      </c>
      <c r="B43" s="119">
        <v>0.23814241486068111</v>
      </c>
      <c r="C43" s="149" t="s">
        <v>207</v>
      </c>
      <c r="D43" s="119">
        <v>0.21845620979713012</v>
      </c>
      <c r="E43" s="149" t="s">
        <v>207</v>
      </c>
      <c r="F43" s="119">
        <v>0.22719410393321801</v>
      </c>
      <c r="G43" s="119" t="s">
        <v>207</v>
      </c>
      <c r="H43" s="119">
        <v>0.24405914451681043</v>
      </c>
      <c r="I43" s="185">
        <v>0.25</v>
      </c>
      <c r="J43" s="185">
        <v>0.28607084573293656</v>
      </c>
      <c r="K43" s="185">
        <v>0.30103806228373703</v>
      </c>
      <c r="L43" s="185">
        <v>0.32</v>
      </c>
      <c r="M43" s="185">
        <v>0.27</v>
      </c>
      <c r="N43" s="185">
        <v>0.27</v>
      </c>
      <c r="O43" s="185">
        <v>0.22</v>
      </c>
      <c r="P43" s="185">
        <v>0.23</v>
      </c>
      <c r="Q43" s="185">
        <v>0.23</v>
      </c>
      <c r="R43" s="185">
        <v>0.23</v>
      </c>
      <c r="S43" s="185">
        <v>0.26</v>
      </c>
      <c r="T43" s="185">
        <v>0.27</v>
      </c>
      <c r="U43" s="185">
        <v>0.25</v>
      </c>
      <c r="V43" s="30"/>
      <c r="Y43" s="168"/>
    </row>
    <row r="44" spans="1:25" ht="15" customHeight="1" outlineLevel="1" x14ac:dyDescent="0.2">
      <c r="A44" s="167" t="s">
        <v>370</v>
      </c>
      <c r="B44" s="119">
        <v>0.13721362229102166</v>
      </c>
      <c r="C44" s="149" t="s">
        <v>207</v>
      </c>
      <c r="D44" s="119">
        <v>0.13714332838528781</v>
      </c>
      <c r="E44" s="149" t="s">
        <v>207</v>
      </c>
      <c r="F44" s="119">
        <v>0.12852523125517035</v>
      </c>
      <c r="G44" s="119" t="s">
        <v>207</v>
      </c>
      <c r="H44" s="119">
        <v>0.11353634923428974</v>
      </c>
      <c r="I44" s="185">
        <v>0.1</v>
      </c>
      <c r="J44" s="185">
        <v>9.3405011039646726E-2</v>
      </c>
      <c r="K44" s="185">
        <v>9.1695501730103809E-2</v>
      </c>
      <c r="L44" s="185">
        <v>0.09</v>
      </c>
      <c r="M44" s="185">
        <v>0.08</v>
      </c>
      <c r="N44" s="185">
        <v>0.08</v>
      </c>
      <c r="O44" s="185">
        <v>7.0000000000000007E-2</v>
      </c>
      <c r="P44" s="185">
        <v>0.1</v>
      </c>
      <c r="Q44" s="185">
        <v>0.15</v>
      </c>
      <c r="R44" s="185">
        <v>0.14000000000000001</v>
      </c>
      <c r="S44" s="185">
        <v>0.12</v>
      </c>
      <c r="T44" s="185">
        <v>0.15</v>
      </c>
      <c r="U44" s="185">
        <v>0.15</v>
      </c>
      <c r="V44" s="30"/>
      <c r="Y44" s="168"/>
    </row>
    <row r="45" spans="1:25" ht="15" customHeight="1" outlineLevel="1" x14ac:dyDescent="0.2">
      <c r="A45" s="167" t="s">
        <v>54</v>
      </c>
      <c r="B45" s="119">
        <v>6.3529411764705876E-2</v>
      </c>
      <c r="C45" s="149" t="s">
        <v>207</v>
      </c>
      <c r="D45" s="119">
        <v>8.3127164769915884E-2</v>
      </c>
      <c r="E45" s="149" t="s">
        <v>207</v>
      </c>
      <c r="F45" s="119">
        <v>9.7766413476724073E-2</v>
      </c>
      <c r="G45" s="119" t="s">
        <v>207</v>
      </c>
      <c r="H45" s="119">
        <v>9.0477028692131672E-2</v>
      </c>
      <c r="I45" s="185">
        <v>0.1</v>
      </c>
      <c r="J45" s="185">
        <v>9.887683594124988E-2</v>
      </c>
      <c r="K45" s="185">
        <v>9.073433294886582E-2</v>
      </c>
      <c r="L45" s="185">
        <v>0.09</v>
      </c>
      <c r="M45" s="185">
        <v>0.05</v>
      </c>
      <c r="N45" s="185">
        <v>0.06</v>
      </c>
      <c r="O45" s="185">
        <v>0.14000000000000001</v>
      </c>
      <c r="P45" s="185">
        <v>0.1</v>
      </c>
      <c r="Q45" s="185">
        <v>7.0000000000000007E-2</v>
      </c>
      <c r="R45" s="185">
        <v>7.0000000000000007E-2</v>
      </c>
      <c r="S45" s="185">
        <v>0.05</v>
      </c>
      <c r="T45" s="185">
        <v>0.05</v>
      </c>
      <c r="U45" s="185">
        <v>0.04</v>
      </c>
      <c r="V45" s="30"/>
      <c r="Y45" s="168"/>
    </row>
    <row r="46" spans="1:25" ht="15" customHeight="1" outlineLevel="1" x14ac:dyDescent="0.2">
      <c r="A46" s="167" t="s">
        <v>27</v>
      </c>
      <c r="B46" s="119">
        <v>6.9349845201238389E-3</v>
      </c>
      <c r="C46" s="149" t="s">
        <v>207</v>
      </c>
      <c r="D46" s="119">
        <v>4.123371268349002E-4</v>
      </c>
      <c r="E46" s="149" t="s">
        <v>207</v>
      </c>
      <c r="F46" s="119">
        <v>3.0081973377453562E-4</v>
      </c>
      <c r="G46" s="119" t="s">
        <v>207</v>
      </c>
      <c r="H46" s="119">
        <v>3.5205069530012321E-4</v>
      </c>
      <c r="I46" s="185">
        <v>0</v>
      </c>
      <c r="J46" s="185">
        <v>0</v>
      </c>
      <c r="K46" s="185">
        <v>0</v>
      </c>
      <c r="L46" s="185">
        <v>0</v>
      </c>
      <c r="M46" s="185">
        <v>0</v>
      </c>
      <c r="N46" s="185">
        <v>0</v>
      </c>
      <c r="O46" s="185">
        <v>0</v>
      </c>
      <c r="P46" s="185">
        <v>0</v>
      </c>
      <c r="Q46" s="185">
        <v>0</v>
      </c>
      <c r="R46" s="185">
        <v>0</v>
      </c>
      <c r="S46" s="185">
        <v>0</v>
      </c>
      <c r="T46" s="185">
        <v>0</v>
      </c>
      <c r="U46" s="185">
        <v>0</v>
      </c>
      <c r="V46" s="30"/>
      <c r="Y46" s="168"/>
    </row>
    <row r="47" spans="1:25" ht="15" customHeight="1" x14ac:dyDescent="0.2">
      <c r="A47" s="186" t="s">
        <v>281</v>
      </c>
      <c r="B47" s="187">
        <v>0.99999999999999989</v>
      </c>
      <c r="C47" s="188" t="s">
        <v>207</v>
      </c>
      <c r="D47" s="189">
        <v>0.99999999999999989</v>
      </c>
      <c r="E47" s="189" t="s">
        <v>207</v>
      </c>
      <c r="F47" s="189">
        <v>1</v>
      </c>
      <c r="G47" s="189" t="s">
        <v>207</v>
      </c>
      <c r="H47" s="189">
        <v>1</v>
      </c>
      <c r="I47" s="190">
        <v>1</v>
      </c>
      <c r="J47" s="190">
        <v>0.99999999999999989</v>
      </c>
      <c r="K47" s="190">
        <v>0.99999999999999989</v>
      </c>
      <c r="L47" s="191">
        <v>1</v>
      </c>
      <c r="M47" s="191">
        <v>1</v>
      </c>
      <c r="N47" s="191">
        <v>1</v>
      </c>
      <c r="O47" s="191">
        <v>0.99999999999999989</v>
      </c>
      <c r="P47" s="191">
        <v>0.99999999999999989</v>
      </c>
      <c r="Q47" s="191">
        <v>1</v>
      </c>
      <c r="R47" s="191">
        <v>1</v>
      </c>
      <c r="S47" s="431">
        <v>1</v>
      </c>
      <c r="T47" s="191">
        <v>1</v>
      </c>
      <c r="U47" s="191">
        <v>1</v>
      </c>
      <c r="V47" s="30"/>
      <c r="Y47" s="168"/>
    </row>
    <row r="48" spans="1:25" ht="15" customHeight="1" x14ac:dyDescent="0.2">
      <c r="A48" s="62" t="s">
        <v>55</v>
      </c>
      <c r="B48" s="70"/>
      <c r="C48" s="70"/>
      <c r="D48" s="70"/>
      <c r="E48" s="70"/>
      <c r="F48" s="70"/>
      <c r="G48" s="70"/>
      <c r="H48" s="70"/>
      <c r="I48" s="70"/>
      <c r="J48" s="70"/>
      <c r="K48" s="70"/>
      <c r="L48" s="70"/>
      <c r="M48" s="70"/>
      <c r="N48" s="70"/>
      <c r="O48" s="70"/>
      <c r="P48" s="70"/>
      <c r="Q48" s="70"/>
      <c r="R48" s="70"/>
      <c r="S48" s="70"/>
      <c r="T48" s="70"/>
      <c r="U48" s="70"/>
      <c r="Y48" s="168"/>
    </row>
    <row r="49" spans="1:21" ht="15" customHeight="1" x14ac:dyDescent="0.2"/>
    <row r="50" spans="1:21" ht="15" customHeight="1" x14ac:dyDescent="0.2">
      <c r="A50" s="15" t="s">
        <v>56</v>
      </c>
    </row>
    <row r="51" spans="1:21" s="210" customFormat="1" ht="27" x14ac:dyDescent="0.25">
      <c r="A51" s="16" t="s">
        <v>626</v>
      </c>
      <c r="B51" s="349"/>
      <c r="C51" s="349"/>
      <c r="D51" s="349"/>
      <c r="E51" s="349"/>
      <c r="F51" s="349"/>
      <c r="G51" s="349"/>
      <c r="H51" s="349"/>
      <c r="I51" s="349"/>
      <c r="J51" s="349"/>
      <c r="K51" s="349"/>
      <c r="L51" s="349"/>
      <c r="M51" s="349"/>
      <c r="N51" s="349"/>
      <c r="O51" s="349"/>
      <c r="P51" s="349"/>
      <c r="Q51" s="349"/>
      <c r="R51" s="349"/>
      <c r="S51" s="349"/>
      <c r="T51" s="349"/>
      <c r="U51" s="349"/>
    </row>
    <row r="52" spans="1:21" s="25" customFormat="1" ht="27" x14ac:dyDescent="0.2">
      <c r="A52" s="16" t="s">
        <v>384</v>
      </c>
      <c r="B52" s="228"/>
      <c r="C52" s="228"/>
      <c r="D52" s="228"/>
      <c r="E52" s="228"/>
      <c r="F52" s="228"/>
      <c r="G52" s="228"/>
      <c r="H52" s="228"/>
      <c r="I52" s="228"/>
      <c r="J52" s="228"/>
      <c r="K52" s="228"/>
      <c r="L52" s="228"/>
      <c r="M52" s="228"/>
      <c r="N52" s="228"/>
      <c r="O52" s="228"/>
      <c r="P52" s="228"/>
      <c r="Q52" s="228"/>
      <c r="R52" s="228"/>
      <c r="S52" s="228"/>
      <c r="T52" s="228"/>
      <c r="U52" s="228"/>
    </row>
    <row r="53" spans="1:21" ht="28.5" customHeight="1" x14ac:dyDescent="0.2">
      <c r="A53" s="16" t="s">
        <v>628</v>
      </c>
    </row>
    <row r="54" spans="1:21" x14ac:dyDescent="0.2">
      <c r="N54" s="192"/>
      <c r="O54" s="192"/>
      <c r="P54" s="192"/>
      <c r="Q54" s="192"/>
      <c r="R54" s="192"/>
      <c r="S54" s="192"/>
      <c r="T54" s="192"/>
      <c r="U54" s="192"/>
    </row>
    <row r="55" spans="1:21" x14ac:dyDescent="0.2">
      <c r="N55" s="192"/>
      <c r="O55" s="192"/>
      <c r="P55" s="192"/>
      <c r="Q55" s="192"/>
      <c r="R55" s="192"/>
      <c r="S55" s="192"/>
      <c r="T55" s="192"/>
      <c r="U55" s="192"/>
    </row>
    <row r="56" spans="1:21" x14ac:dyDescent="0.2">
      <c r="N56" s="192"/>
      <c r="O56" s="192"/>
      <c r="P56" s="192"/>
      <c r="Q56" s="192"/>
      <c r="R56" s="192"/>
      <c r="S56" s="192"/>
      <c r="T56" s="192"/>
      <c r="U56" s="192"/>
    </row>
    <row r="57" spans="1:21" x14ac:dyDescent="0.2">
      <c r="N57" s="192"/>
      <c r="O57" s="192"/>
      <c r="P57" s="192"/>
      <c r="Q57" s="192"/>
      <c r="R57" s="192"/>
      <c r="S57" s="192"/>
      <c r="T57" s="192"/>
      <c r="U57" s="192"/>
    </row>
    <row r="58" spans="1:21" x14ac:dyDescent="0.2">
      <c r="N58" s="192"/>
      <c r="O58" s="192"/>
      <c r="P58" s="192"/>
      <c r="Q58" s="192"/>
      <c r="R58" s="192"/>
      <c r="S58" s="192"/>
      <c r="T58" s="192"/>
      <c r="U58" s="192"/>
    </row>
  </sheetData>
  <customSheetViews>
    <customSheetView guid="{0879B2E0-1447-4BF4-B278-DFA3BD4BF3E7}" scale="85" showPageBreaks="1" fitToPage="1" printArea="1" view="pageBreakPreview">
      <selection activeCell="J44" sqref="J44"/>
      <pageMargins left="0.7" right="0.7" top="0.75" bottom="0.75" header="0.3" footer="0.3"/>
      <pageSetup paperSize="9" scale="74" orientation="landscape" r:id="rId1"/>
    </customSheetView>
    <customSheetView guid="{B24A12A4-9623-4099-956E-0B4C7C8D3F73}" scale="85" showPageBreaks="1" fitToPage="1" printArea="1" view="pageBreakPreview">
      <selection activeCell="N10" sqref="N10"/>
      <pageMargins left="0.7" right="0.7" top="0.75" bottom="0.75" header="0.3" footer="0.3"/>
      <pageSetup paperSize="9" scale="78" orientation="landscape" r:id="rId2"/>
    </customSheetView>
    <customSheetView guid="{93BA635E-1664-4099-8295-6B100E16362A}" scale="85" showPageBreaks="1" fitToPage="1" printArea="1" view="pageBreakPreview">
      <selection activeCell="A16" sqref="A16:XFD16"/>
      <pageMargins left="0.7" right="0.7" top="0.75" bottom="0.75" header="0.3" footer="0.3"/>
      <pageSetup paperSize="9" scale="78" orientation="landscape" r:id="rId3"/>
    </customSheetView>
  </customSheetViews>
  <hyperlinks>
    <hyperlink ref="W2" location="MENU!A1" display="MENU"/>
  </hyperlinks>
  <pageMargins left="0.7" right="0.7" top="0.75" bottom="0.75" header="0.3" footer="0.3"/>
  <pageSetup paperSize="9" scale="58"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375809"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375809" r:id="rId10"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rgb="FF236CB0"/>
    <pageSetUpPr fitToPage="1"/>
  </sheetPr>
  <dimension ref="A1:Z33"/>
  <sheetViews>
    <sheetView view="pageBreakPreview" zoomScaleNormal="85" zoomScaleSheetLayoutView="100" zoomScalePageLayoutView="85" workbookViewId="0">
      <selection sqref="A1:U24"/>
    </sheetView>
  </sheetViews>
  <sheetFormatPr defaultColWidth="8.85546875" defaultRowHeight="12.75" x14ac:dyDescent="0.2"/>
  <cols>
    <col min="1" max="1" width="60.7109375" style="22" customWidth="1"/>
    <col min="2" max="21" width="7.7109375" style="48" customWidth="1"/>
    <col min="22" max="22" width="10" style="22" bestFit="1" customWidth="1"/>
    <col min="23" max="23" width="9.7109375" style="22" bestFit="1" customWidth="1"/>
    <col min="24" max="24" width="10.42578125" style="22" bestFit="1" customWidth="1"/>
    <col min="25" max="25" width="9.140625" style="22" bestFit="1" customWidth="1"/>
    <col min="26" max="26" width="10.42578125" style="22" bestFit="1" customWidth="1"/>
    <col min="27" max="16384" width="8.85546875" style="22"/>
  </cols>
  <sheetData>
    <row r="1" spans="1:26" s="20" customFormat="1" ht="30" customHeight="1" thickBot="1" x14ac:dyDescent="0.3">
      <c r="A1" s="406" t="s">
        <v>385</v>
      </c>
      <c r="B1" s="410"/>
      <c r="C1" s="410"/>
      <c r="D1" s="410"/>
      <c r="E1" s="410"/>
      <c r="F1" s="410"/>
      <c r="G1" s="410"/>
      <c r="H1" s="410"/>
      <c r="I1" s="410"/>
      <c r="J1" s="410"/>
      <c r="K1" s="410"/>
      <c r="L1" s="410"/>
      <c r="M1" s="410"/>
      <c r="N1" s="410"/>
      <c r="O1" s="410"/>
      <c r="P1" s="410"/>
      <c r="Q1" s="410"/>
      <c r="R1" s="410"/>
      <c r="S1" s="432"/>
      <c r="T1" s="432"/>
      <c r="U1" s="432"/>
    </row>
    <row r="2" spans="1:26" s="20" customFormat="1" ht="30" customHeight="1" thickBot="1" x14ac:dyDescent="0.3">
      <c r="A2" s="408" t="s">
        <v>177</v>
      </c>
      <c r="B2" s="115">
        <v>2009</v>
      </c>
      <c r="C2" s="115" t="s">
        <v>208</v>
      </c>
      <c r="D2" s="115">
        <v>2010</v>
      </c>
      <c r="E2" s="115" t="s">
        <v>209</v>
      </c>
      <c r="F2" s="115">
        <v>2011</v>
      </c>
      <c r="G2" s="115" t="s">
        <v>210</v>
      </c>
      <c r="H2" s="115">
        <v>2012</v>
      </c>
      <c r="I2" s="115" t="s">
        <v>211</v>
      </c>
      <c r="J2" s="115">
        <v>2013</v>
      </c>
      <c r="K2" s="115" t="s">
        <v>212</v>
      </c>
      <c r="L2" s="115">
        <v>2014</v>
      </c>
      <c r="M2" s="115" t="s">
        <v>213</v>
      </c>
      <c r="N2" s="115">
        <v>2015</v>
      </c>
      <c r="O2" s="115" t="s">
        <v>343</v>
      </c>
      <c r="P2" s="23">
        <v>2016</v>
      </c>
      <c r="Q2" s="23" t="s">
        <v>405</v>
      </c>
      <c r="R2" s="23">
        <v>2017</v>
      </c>
      <c r="S2" s="23" t="s">
        <v>431</v>
      </c>
      <c r="T2" s="23">
        <v>2018</v>
      </c>
      <c r="U2" s="23" t="s">
        <v>577</v>
      </c>
      <c r="W2" s="116" t="s">
        <v>215</v>
      </c>
    </row>
    <row r="3" spans="1:26" ht="15" customHeight="1" x14ac:dyDescent="0.2">
      <c r="A3" s="164" t="s">
        <v>57</v>
      </c>
      <c r="B3" s="194">
        <v>3565</v>
      </c>
      <c r="C3" s="194">
        <v>2905</v>
      </c>
      <c r="D3" s="194">
        <v>6552</v>
      </c>
      <c r="E3" s="194">
        <v>3384</v>
      </c>
      <c r="F3" s="194">
        <v>6235</v>
      </c>
      <c r="G3" s="194">
        <v>2110</v>
      </c>
      <c r="H3" s="194">
        <v>3864</v>
      </c>
      <c r="I3" s="194">
        <v>1795</v>
      </c>
      <c r="J3" s="194">
        <v>2476</v>
      </c>
      <c r="K3" s="194">
        <v>2029</v>
      </c>
      <c r="L3" s="194">
        <v>4746</v>
      </c>
      <c r="M3" s="194">
        <v>2426</v>
      </c>
      <c r="N3" s="194">
        <v>3506</v>
      </c>
      <c r="O3" s="194">
        <v>1536</v>
      </c>
      <c r="P3" s="194">
        <v>3281</v>
      </c>
      <c r="Q3" s="194">
        <v>1412</v>
      </c>
      <c r="R3" s="194">
        <v>3123</v>
      </c>
      <c r="S3" s="194">
        <v>2723</v>
      </c>
      <c r="T3" s="194">
        <v>5416</v>
      </c>
      <c r="U3" s="194">
        <v>3271</v>
      </c>
      <c r="V3" s="30"/>
    </row>
    <row r="4" spans="1:26" ht="15" customHeight="1" x14ac:dyDescent="0.2">
      <c r="A4" s="195" t="s">
        <v>58</v>
      </c>
      <c r="B4" s="196">
        <v>665</v>
      </c>
      <c r="C4" s="196">
        <v>344</v>
      </c>
      <c r="D4" s="196">
        <v>673</v>
      </c>
      <c r="E4" s="196">
        <v>359</v>
      </c>
      <c r="F4" s="196">
        <v>761</v>
      </c>
      <c r="G4" s="196">
        <v>368</v>
      </c>
      <c r="H4" s="196">
        <v>789</v>
      </c>
      <c r="I4" s="196">
        <v>439</v>
      </c>
      <c r="J4" s="196">
        <v>881</v>
      </c>
      <c r="K4" s="196">
        <v>445</v>
      </c>
      <c r="L4" s="196">
        <v>805</v>
      </c>
      <c r="M4" s="196">
        <v>280</v>
      </c>
      <c r="N4" s="196">
        <v>506</v>
      </c>
      <c r="O4" s="196">
        <v>256</v>
      </c>
      <c r="P4" s="196">
        <v>557</v>
      </c>
      <c r="Q4" s="196">
        <v>307</v>
      </c>
      <c r="R4" s="196">
        <v>645</v>
      </c>
      <c r="S4" s="196">
        <v>350</v>
      </c>
      <c r="T4" s="196">
        <v>765</v>
      </c>
      <c r="U4" s="196">
        <v>443</v>
      </c>
      <c r="V4" s="30"/>
    </row>
    <row r="5" spans="1:26" ht="15" customHeight="1" x14ac:dyDescent="0.2">
      <c r="A5" s="195" t="s">
        <v>59</v>
      </c>
      <c r="B5" s="196">
        <v>-30</v>
      </c>
      <c r="C5" s="196">
        <v>0</v>
      </c>
      <c r="D5" s="196">
        <v>15</v>
      </c>
      <c r="E5" s="196">
        <v>0</v>
      </c>
      <c r="F5" s="196">
        <v>243</v>
      </c>
      <c r="G5" s="196">
        <v>16</v>
      </c>
      <c r="H5" s="196">
        <v>279</v>
      </c>
      <c r="I5" s="196">
        <v>65</v>
      </c>
      <c r="J5" s="196">
        <v>841</v>
      </c>
      <c r="K5" s="196">
        <v>22</v>
      </c>
      <c r="L5" s="196">
        <v>130</v>
      </c>
      <c r="M5" s="196">
        <v>2</v>
      </c>
      <c r="N5" s="196">
        <v>284</v>
      </c>
      <c r="O5" s="196">
        <v>3</v>
      </c>
      <c r="P5" s="196">
        <v>61</v>
      </c>
      <c r="Q5" s="196">
        <v>25</v>
      </c>
      <c r="R5" s="196">
        <v>227</v>
      </c>
      <c r="S5" s="196">
        <v>6</v>
      </c>
      <c r="T5" s="196">
        <v>50</v>
      </c>
      <c r="U5" s="196">
        <v>5</v>
      </c>
      <c r="V5" s="30"/>
    </row>
    <row r="6" spans="1:26" ht="15" customHeight="1" x14ac:dyDescent="0.2">
      <c r="A6" s="52" t="s">
        <v>60</v>
      </c>
      <c r="B6" s="196">
        <v>-2</v>
      </c>
      <c r="C6" s="196">
        <v>0</v>
      </c>
      <c r="D6" s="196">
        <v>-31</v>
      </c>
      <c r="E6" s="196">
        <v>0</v>
      </c>
      <c r="F6" s="196">
        <v>0</v>
      </c>
      <c r="G6" s="196">
        <v>0</v>
      </c>
      <c r="H6" s="196">
        <v>0</v>
      </c>
      <c r="I6" s="196">
        <v>0</v>
      </c>
      <c r="J6" s="196">
        <v>0</v>
      </c>
      <c r="K6" s="196">
        <v>0</v>
      </c>
      <c r="L6" s="196">
        <v>0</v>
      </c>
      <c r="M6" s="196">
        <v>0</v>
      </c>
      <c r="N6" s="196">
        <v>0</v>
      </c>
      <c r="O6" s="196">
        <v>0</v>
      </c>
      <c r="P6" s="196">
        <v>0</v>
      </c>
      <c r="Q6" s="196">
        <v>0</v>
      </c>
      <c r="R6" s="196">
        <v>0</v>
      </c>
      <c r="S6" s="196">
        <v>0</v>
      </c>
      <c r="T6" s="196">
        <v>0</v>
      </c>
      <c r="U6" s="196">
        <v>0</v>
      </c>
      <c r="V6" s="30"/>
    </row>
    <row r="7" spans="1:26" ht="15" customHeight="1" x14ac:dyDescent="0.2">
      <c r="A7" s="164" t="s">
        <v>61</v>
      </c>
      <c r="B7" s="197">
        <v>4198</v>
      </c>
      <c r="C7" s="197">
        <v>3249</v>
      </c>
      <c r="D7" s="197">
        <v>7209</v>
      </c>
      <c r="E7" s="197">
        <v>3743</v>
      </c>
      <c r="F7" s="197">
        <v>7239</v>
      </c>
      <c r="G7" s="197">
        <v>2494</v>
      </c>
      <c r="H7" s="197">
        <v>4932</v>
      </c>
      <c r="I7" s="197">
        <v>2299</v>
      </c>
      <c r="J7" s="197">
        <v>4198</v>
      </c>
      <c r="K7" s="197">
        <v>2496</v>
      </c>
      <c r="L7" s="197">
        <v>5681</v>
      </c>
      <c r="M7" s="197">
        <v>2708</v>
      </c>
      <c r="N7" s="197">
        <v>4296</v>
      </c>
      <c r="O7" s="197">
        <v>1795</v>
      </c>
      <c r="P7" s="197">
        <v>3899</v>
      </c>
      <c r="Q7" s="197">
        <v>1744</v>
      </c>
      <c r="R7" s="197">
        <v>3995</v>
      </c>
      <c r="S7" s="433">
        <v>3079</v>
      </c>
      <c r="T7" s="197">
        <v>6231</v>
      </c>
      <c r="U7" s="197">
        <v>3719</v>
      </c>
      <c r="V7" s="30"/>
      <c r="W7" s="168"/>
      <c r="X7" s="168"/>
      <c r="Y7" s="168"/>
      <c r="Z7" s="168"/>
    </row>
    <row r="8" spans="1:26" ht="15" customHeight="1" x14ac:dyDescent="0.2">
      <c r="A8" s="164" t="s">
        <v>62</v>
      </c>
      <c r="B8" s="198">
        <v>49.145399203933508</v>
      </c>
      <c r="C8" s="198">
        <v>55.030487804878049</v>
      </c>
      <c r="D8" s="198">
        <v>56.430528375733857</v>
      </c>
      <c r="E8" s="198">
        <v>51.029311520109069</v>
      </c>
      <c r="F8" s="198">
        <v>51.260444696218663</v>
      </c>
      <c r="G8" s="198">
        <v>42.064429077416086</v>
      </c>
      <c r="H8" s="198">
        <v>39.883551673944687</v>
      </c>
      <c r="I8" s="198">
        <v>40.432641575800211</v>
      </c>
      <c r="J8" s="198">
        <v>36.507522393251584</v>
      </c>
      <c r="K8" s="198">
        <v>43.728100911002102</v>
      </c>
      <c r="L8" s="198">
        <v>47.864184008762322</v>
      </c>
      <c r="M8" s="198">
        <v>55.186468310576728</v>
      </c>
      <c r="N8" s="198">
        <v>50.290447400096326</v>
      </c>
      <c r="O8" s="198">
        <v>46.708300806661462</v>
      </c>
      <c r="P8" s="198">
        <v>47.20910521854946</v>
      </c>
      <c r="Q8" s="198">
        <v>41.054613935969869</v>
      </c>
      <c r="R8" s="198">
        <v>43.680297397769522</v>
      </c>
      <c r="S8" s="198">
        <v>52.776825505656497</v>
      </c>
      <c r="T8" s="198">
        <v>53.393316195372755</v>
      </c>
      <c r="U8" s="198">
        <v>59.106802288620472</v>
      </c>
      <c r="V8" s="30"/>
      <c r="Y8" s="168"/>
    </row>
    <row r="9" spans="1:26" s="52" customFormat="1" ht="15" customHeight="1" x14ac:dyDescent="0.2">
      <c r="A9" s="73"/>
      <c r="B9" s="162"/>
      <c r="C9" s="162"/>
      <c r="D9" s="162"/>
      <c r="E9" s="162"/>
      <c r="F9" s="162"/>
      <c r="G9" s="162"/>
      <c r="H9" s="162"/>
      <c r="I9" s="162"/>
      <c r="J9" s="162"/>
      <c r="K9" s="162"/>
      <c r="L9" s="162"/>
      <c r="M9" s="162"/>
      <c r="N9" s="162"/>
      <c r="O9" s="162"/>
      <c r="P9" s="162"/>
      <c r="Q9" s="162"/>
      <c r="R9" s="162"/>
      <c r="S9" s="162"/>
      <c r="T9" s="162"/>
      <c r="U9" s="162"/>
      <c r="V9" s="199"/>
    </row>
    <row r="10" spans="1:26" s="52" customFormat="1" ht="15" customHeight="1" x14ac:dyDescent="0.2">
      <c r="A10" s="178" t="s">
        <v>63</v>
      </c>
      <c r="B10" s="165"/>
      <c r="C10" s="165"/>
      <c r="D10" s="165"/>
      <c r="E10" s="165"/>
      <c r="F10" s="165"/>
      <c r="G10" s="165"/>
      <c r="H10" s="165"/>
      <c r="I10" s="165"/>
      <c r="J10" s="165"/>
      <c r="K10" s="165"/>
      <c r="V10" s="199"/>
    </row>
    <row r="11" spans="1:26" ht="15" customHeight="1" x14ac:dyDescent="0.2">
      <c r="A11" s="169" t="s">
        <v>400</v>
      </c>
      <c r="B11" s="200" t="s">
        <v>207</v>
      </c>
      <c r="C11" s="200" t="s">
        <v>207</v>
      </c>
      <c r="D11" s="200" t="s">
        <v>207</v>
      </c>
      <c r="E11" s="200" t="s">
        <v>207</v>
      </c>
      <c r="F11" s="200" t="s">
        <v>207</v>
      </c>
      <c r="G11" s="200" t="s">
        <v>207</v>
      </c>
      <c r="H11" s="200">
        <v>5323</v>
      </c>
      <c r="I11" s="200">
        <v>2409</v>
      </c>
      <c r="J11" s="200">
        <v>4655</v>
      </c>
      <c r="K11" s="200">
        <v>2501</v>
      </c>
      <c r="L11" s="200">
        <v>5625</v>
      </c>
      <c r="M11" s="200">
        <v>2714</v>
      </c>
      <c r="N11" s="200">
        <v>4429</v>
      </c>
      <c r="O11" s="200">
        <v>1765</v>
      </c>
      <c r="P11" s="200">
        <v>3883</v>
      </c>
      <c r="Q11" s="200">
        <v>2012</v>
      </c>
      <c r="R11" s="200">
        <v>4627</v>
      </c>
      <c r="S11" s="200">
        <v>3296</v>
      </c>
      <c r="T11" s="200">
        <v>6602</v>
      </c>
      <c r="U11" s="200">
        <v>4300</v>
      </c>
      <c r="V11" s="201"/>
      <c r="W11" s="168"/>
    </row>
    <row r="12" spans="1:26" ht="15" customHeight="1" x14ac:dyDescent="0.2">
      <c r="A12" s="169" t="s">
        <v>401</v>
      </c>
      <c r="B12" s="202" t="s">
        <v>207</v>
      </c>
      <c r="C12" s="202" t="s">
        <v>207</v>
      </c>
      <c r="D12" s="202" t="s">
        <v>207</v>
      </c>
      <c r="E12" s="202" t="s">
        <v>207</v>
      </c>
      <c r="F12" s="202" t="s">
        <v>207</v>
      </c>
      <c r="G12" s="202" t="s">
        <v>207</v>
      </c>
      <c r="H12" s="28">
        <v>300</v>
      </c>
      <c r="I12" s="28">
        <v>94</v>
      </c>
      <c r="J12" s="28">
        <v>141</v>
      </c>
      <c r="K12" s="28">
        <v>146</v>
      </c>
      <c r="L12" s="28">
        <v>346</v>
      </c>
      <c r="M12" s="28">
        <v>156</v>
      </c>
      <c r="N12" s="28">
        <v>257</v>
      </c>
      <c r="O12" s="28">
        <v>55</v>
      </c>
      <c r="P12" s="308">
        <v>117</v>
      </c>
      <c r="Q12" s="308">
        <v>71</v>
      </c>
      <c r="R12" s="308">
        <v>114</v>
      </c>
      <c r="S12" s="308">
        <v>129</v>
      </c>
      <c r="T12" s="308">
        <v>190</v>
      </c>
      <c r="U12" s="308">
        <v>87</v>
      </c>
      <c r="V12" s="201"/>
    </row>
    <row r="13" spans="1:26" ht="15" customHeight="1" x14ac:dyDescent="0.2">
      <c r="A13" s="169" t="s">
        <v>49</v>
      </c>
      <c r="B13" s="202" t="s">
        <v>207</v>
      </c>
      <c r="C13" s="202" t="s">
        <v>207</v>
      </c>
      <c r="D13" s="202" t="s">
        <v>207</v>
      </c>
      <c r="E13" s="202" t="s">
        <v>207</v>
      </c>
      <c r="F13" s="202" t="s">
        <v>207</v>
      </c>
      <c r="G13" s="202" t="s">
        <v>207</v>
      </c>
      <c r="H13" s="202" t="s">
        <v>207</v>
      </c>
      <c r="I13" s="202" t="s">
        <v>207</v>
      </c>
      <c r="J13" s="28">
        <v>44</v>
      </c>
      <c r="K13" s="28">
        <v>10.919625431761057</v>
      </c>
      <c r="L13" s="28">
        <v>70</v>
      </c>
      <c r="M13" s="28">
        <v>36</v>
      </c>
      <c r="N13" s="28">
        <v>63</v>
      </c>
      <c r="O13" s="28">
        <v>9</v>
      </c>
      <c r="P13" s="308">
        <v>45</v>
      </c>
      <c r="Q13" s="308">
        <v>45</v>
      </c>
      <c r="R13" s="308">
        <v>61</v>
      </c>
      <c r="S13" s="308">
        <v>24</v>
      </c>
      <c r="T13" s="308">
        <v>71</v>
      </c>
      <c r="U13" s="308">
        <v>40</v>
      </c>
      <c r="V13" s="201"/>
    </row>
    <row r="14" spans="1:26" ht="15" customHeight="1" x14ac:dyDescent="0.2">
      <c r="A14" s="169" t="s">
        <v>434</v>
      </c>
      <c r="B14" s="202" t="s">
        <v>207</v>
      </c>
      <c r="C14" s="202" t="s">
        <v>207</v>
      </c>
      <c r="D14" s="202" t="s">
        <v>207</v>
      </c>
      <c r="E14" s="202" t="s">
        <v>207</v>
      </c>
      <c r="F14" s="202" t="s">
        <v>207</v>
      </c>
      <c r="G14" s="202" t="s">
        <v>207</v>
      </c>
      <c r="H14" s="202" t="s">
        <v>207</v>
      </c>
      <c r="I14" s="202" t="s">
        <v>207</v>
      </c>
      <c r="J14" s="202" t="s">
        <v>207</v>
      </c>
      <c r="K14" s="202" t="s">
        <v>207</v>
      </c>
      <c r="L14" s="202" t="s">
        <v>207</v>
      </c>
      <c r="M14" s="202" t="s">
        <v>207</v>
      </c>
      <c r="N14" s="202" t="s">
        <v>207</v>
      </c>
      <c r="O14" s="202" t="s">
        <v>207</v>
      </c>
      <c r="P14" s="202" t="s">
        <v>207</v>
      </c>
      <c r="Q14" s="202">
        <v>-3</v>
      </c>
      <c r="R14" s="202">
        <v>-65</v>
      </c>
      <c r="S14" s="202">
        <v>5</v>
      </c>
      <c r="T14" s="202">
        <v>96</v>
      </c>
      <c r="U14" s="202">
        <v>160</v>
      </c>
      <c r="V14" s="201"/>
    </row>
    <row r="15" spans="1:26" ht="15" customHeight="1" x14ac:dyDescent="0.2">
      <c r="A15" s="169" t="s">
        <v>440</v>
      </c>
      <c r="B15" s="203" t="s">
        <v>207</v>
      </c>
      <c r="C15" s="203" t="s">
        <v>207</v>
      </c>
      <c r="D15" s="203" t="s">
        <v>207</v>
      </c>
      <c r="E15" s="203" t="s">
        <v>207</v>
      </c>
      <c r="F15" s="203" t="s">
        <v>207</v>
      </c>
      <c r="G15" s="203" t="s">
        <v>207</v>
      </c>
      <c r="H15" s="27">
        <v>-63</v>
      </c>
      <c r="I15" s="27">
        <v>-72</v>
      </c>
      <c r="J15" s="27">
        <v>-265</v>
      </c>
      <c r="K15" s="27">
        <v>-35</v>
      </c>
      <c r="L15" s="27">
        <v>-61</v>
      </c>
      <c r="M15" s="27">
        <v>-12</v>
      </c>
      <c r="N15" s="27">
        <v>-12</v>
      </c>
      <c r="O15" s="27">
        <v>-8</v>
      </c>
      <c r="P15" s="308">
        <v>-11</v>
      </c>
      <c r="Q15" s="202" t="s">
        <v>207</v>
      </c>
      <c r="R15" s="308" t="s">
        <v>207</v>
      </c>
      <c r="S15" s="308" t="s">
        <v>207</v>
      </c>
      <c r="T15" s="202" t="s">
        <v>207</v>
      </c>
      <c r="U15" s="202" t="s">
        <v>207</v>
      </c>
      <c r="V15" s="201"/>
    </row>
    <row r="16" spans="1:26" ht="15" customHeight="1" x14ac:dyDescent="0.2">
      <c r="A16" s="167" t="s">
        <v>433</v>
      </c>
      <c r="B16" s="203" t="s">
        <v>207</v>
      </c>
      <c r="C16" s="203" t="s">
        <v>207</v>
      </c>
      <c r="D16" s="203" t="s">
        <v>207</v>
      </c>
      <c r="E16" s="203" t="s">
        <v>207</v>
      </c>
      <c r="F16" s="203" t="s">
        <v>207</v>
      </c>
      <c r="G16" s="203" t="s">
        <v>207</v>
      </c>
      <c r="H16" s="27" t="s">
        <v>207</v>
      </c>
      <c r="I16" s="27" t="s">
        <v>207</v>
      </c>
      <c r="J16" s="27" t="s">
        <v>207</v>
      </c>
      <c r="K16" s="27" t="s">
        <v>207</v>
      </c>
      <c r="L16" s="27" t="s">
        <v>207</v>
      </c>
      <c r="M16" s="27" t="s">
        <v>207</v>
      </c>
      <c r="N16" s="27" t="s">
        <v>207</v>
      </c>
      <c r="O16" s="27" t="s">
        <v>207</v>
      </c>
      <c r="P16" s="308" t="s">
        <v>207</v>
      </c>
      <c r="Q16" s="308">
        <v>0</v>
      </c>
      <c r="R16" s="202">
        <v>-3</v>
      </c>
      <c r="S16" s="202">
        <v>6</v>
      </c>
      <c r="T16" s="308">
        <v>-6</v>
      </c>
      <c r="U16" s="308">
        <v>-4</v>
      </c>
      <c r="W16" s="204"/>
    </row>
    <row r="17" spans="1:23" ht="15" customHeight="1" x14ac:dyDescent="0.2">
      <c r="A17" s="167" t="s">
        <v>362</v>
      </c>
      <c r="B17" s="203" t="s">
        <v>207</v>
      </c>
      <c r="C17" s="203" t="s">
        <v>207</v>
      </c>
      <c r="D17" s="203" t="s">
        <v>207</v>
      </c>
      <c r="E17" s="203" t="s">
        <v>207</v>
      </c>
      <c r="F17" s="203" t="s">
        <v>207</v>
      </c>
      <c r="G17" s="203" t="s">
        <v>207</v>
      </c>
      <c r="H17" s="27">
        <v>-51</v>
      </c>
      <c r="I17" s="27">
        <v>-7</v>
      </c>
      <c r="J17" s="27">
        <v>41</v>
      </c>
      <c r="K17" s="27">
        <v>44</v>
      </c>
      <c r="L17" s="27">
        <v>78</v>
      </c>
      <c r="M17" s="27">
        <v>-22</v>
      </c>
      <c r="N17" s="27">
        <v>-81</v>
      </c>
      <c r="O17" s="27">
        <v>57</v>
      </c>
      <c r="P17" s="308">
        <v>119</v>
      </c>
      <c r="Q17" s="308">
        <v>1</v>
      </c>
      <c r="R17" s="308">
        <v>18</v>
      </c>
      <c r="S17" s="308">
        <v>-1</v>
      </c>
      <c r="T17" s="308">
        <v>50</v>
      </c>
      <c r="U17" s="308">
        <v>12</v>
      </c>
      <c r="V17" s="201"/>
    </row>
    <row r="18" spans="1:23" ht="15" customHeight="1" x14ac:dyDescent="0.2">
      <c r="A18" s="167" t="s">
        <v>363</v>
      </c>
      <c r="B18" s="203"/>
      <c r="C18" s="203"/>
      <c r="D18" s="203"/>
      <c r="E18" s="203"/>
      <c r="F18" s="203"/>
      <c r="G18" s="203"/>
      <c r="H18" s="27"/>
      <c r="I18" s="27"/>
      <c r="J18" s="27"/>
      <c r="K18" s="27"/>
      <c r="L18" s="27"/>
      <c r="M18" s="27"/>
      <c r="N18" s="27">
        <v>26</v>
      </c>
      <c r="O18" s="27">
        <v>81</v>
      </c>
      <c r="P18" s="308">
        <v>112</v>
      </c>
      <c r="Q18" s="308">
        <v>12</v>
      </c>
      <c r="R18" s="308">
        <v>-34</v>
      </c>
      <c r="S18" s="308">
        <v>-23</v>
      </c>
      <c r="T18" s="308">
        <v>-13</v>
      </c>
      <c r="U18" s="308">
        <v>-494</v>
      </c>
      <c r="V18" s="201"/>
    </row>
    <row r="19" spans="1:23" ht="15" customHeight="1" x14ac:dyDescent="0.2">
      <c r="A19" s="167" t="s">
        <v>366</v>
      </c>
      <c r="B19" s="203" t="s">
        <v>207</v>
      </c>
      <c r="C19" s="203" t="s">
        <v>207</v>
      </c>
      <c r="D19" s="203" t="s">
        <v>207</v>
      </c>
      <c r="E19" s="203" t="s">
        <v>207</v>
      </c>
      <c r="F19" s="203" t="s">
        <v>207</v>
      </c>
      <c r="G19" s="203" t="s">
        <v>207</v>
      </c>
      <c r="H19" s="27">
        <v>-577</v>
      </c>
      <c r="I19" s="27">
        <v>-125</v>
      </c>
      <c r="J19" s="27">
        <v>-418</v>
      </c>
      <c r="K19" s="27">
        <v>-170.88401768045193</v>
      </c>
      <c r="L19" s="27">
        <v>-377</v>
      </c>
      <c r="M19" s="27">
        <v>-164</v>
      </c>
      <c r="N19" s="27">
        <v>-386</v>
      </c>
      <c r="O19" s="27">
        <v>-164</v>
      </c>
      <c r="P19" s="308">
        <v>-366</v>
      </c>
      <c r="Q19" s="308">
        <v>-394</v>
      </c>
      <c r="R19" s="308">
        <v>-723</v>
      </c>
      <c r="S19" s="308">
        <v>-357</v>
      </c>
      <c r="T19" s="308">
        <v>-759</v>
      </c>
      <c r="U19" s="308">
        <v>-382</v>
      </c>
      <c r="V19" s="30"/>
      <c r="W19" s="204"/>
    </row>
    <row r="20" spans="1:23" ht="15" customHeight="1" x14ac:dyDescent="0.2">
      <c r="A20" s="205" t="s">
        <v>64</v>
      </c>
      <c r="B20" s="206" t="s">
        <v>207</v>
      </c>
      <c r="C20" s="206" t="s">
        <v>207</v>
      </c>
      <c r="D20" s="206" t="s">
        <v>207</v>
      </c>
      <c r="E20" s="206" t="s">
        <v>207</v>
      </c>
      <c r="F20" s="206" t="s">
        <v>207</v>
      </c>
      <c r="G20" s="206" t="s">
        <v>207</v>
      </c>
      <c r="H20" s="207">
        <v>4932</v>
      </c>
      <c r="I20" s="207">
        <v>2299</v>
      </c>
      <c r="J20" s="207">
        <v>4198</v>
      </c>
      <c r="K20" s="207">
        <v>2496.0356077513093</v>
      </c>
      <c r="L20" s="207">
        <v>5681</v>
      </c>
      <c r="M20" s="207">
        <v>2708</v>
      </c>
      <c r="N20" s="207">
        <v>4296</v>
      </c>
      <c r="O20" s="207">
        <v>1795</v>
      </c>
      <c r="P20" s="208">
        <v>3899</v>
      </c>
      <c r="Q20" s="208">
        <v>1744</v>
      </c>
      <c r="R20" s="208">
        <v>3995</v>
      </c>
      <c r="S20" s="434">
        <v>3079</v>
      </c>
      <c r="T20" s="208">
        <v>6231</v>
      </c>
      <c r="U20" s="208">
        <v>3719</v>
      </c>
      <c r="V20" s="201"/>
    </row>
    <row r="21" spans="1:23" ht="15" customHeight="1" x14ac:dyDescent="0.2">
      <c r="A21" s="62" t="s">
        <v>55</v>
      </c>
      <c r="P21" s="147"/>
      <c r="Q21" s="147"/>
      <c r="R21" s="147"/>
      <c r="S21" s="147"/>
      <c r="T21" s="147"/>
      <c r="U21" s="147"/>
    </row>
    <row r="22" spans="1:23" ht="15" customHeight="1" x14ac:dyDescent="0.2">
      <c r="A22" s="62"/>
    </row>
    <row r="23" spans="1:23" ht="15" customHeight="1" x14ac:dyDescent="0.2">
      <c r="A23" s="193" t="s">
        <v>56</v>
      </c>
    </row>
    <row r="24" spans="1:23" s="25" customFormat="1" ht="25.5" x14ac:dyDescent="0.2">
      <c r="A24" s="353" t="s">
        <v>341</v>
      </c>
      <c r="B24" s="60"/>
      <c r="C24" s="60"/>
      <c r="D24" s="60"/>
      <c r="E24" s="60"/>
      <c r="F24" s="60"/>
      <c r="G24" s="60"/>
      <c r="H24" s="60"/>
      <c r="I24" s="60"/>
      <c r="J24" s="60"/>
      <c r="K24" s="60"/>
      <c r="L24" s="60"/>
      <c r="M24" s="60"/>
      <c r="N24" s="60"/>
      <c r="O24" s="60"/>
      <c r="P24" s="60"/>
      <c r="Q24" s="60"/>
      <c r="R24" s="60"/>
      <c r="S24" s="60"/>
      <c r="T24" s="60"/>
      <c r="U24" s="60"/>
    </row>
    <row r="29" spans="1:23" x14ac:dyDescent="0.2">
      <c r="N29" s="147"/>
      <c r="O29" s="147"/>
    </row>
    <row r="33" spans="23:23" x14ac:dyDescent="0.2">
      <c r="W33" s="168"/>
    </row>
  </sheetData>
  <customSheetViews>
    <customSheetView guid="{0879B2E0-1447-4BF4-B278-DFA3BD4BF3E7}" showPageBreaks="1" fitToPage="1" printArea="1" view="pageBreakPreview">
      <selection activeCell="E27" sqref="E27"/>
      <pageMargins left="0.7" right="0.7" top="0.75" bottom="0.75" header="0.3" footer="0.3"/>
      <pageSetup paperSize="9" scale="74" orientation="landscape" r:id="rId1"/>
    </customSheetView>
    <customSheetView guid="{B24A12A4-9623-4099-956E-0B4C7C8D3F73}" scale="85" showPageBreaks="1" fitToPage="1" printArea="1" view="pageBreakPreview">
      <selection activeCell="N7" sqref="N7"/>
      <pageMargins left="0.7" right="0.7" top="0.75" bottom="0.75" header="0.3" footer="0.3"/>
      <pageSetup paperSize="9" scale="91" orientation="landscape" r:id="rId2"/>
    </customSheetView>
    <customSheetView guid="{93BA635E-1664-4099-8295-6B100E16362A}" scale="85" showPageBreaks="1" fitToPage="1" printArea="1" view="pageBreakPreview">
      <selection activeCell="N11" sqref="N11"/>
      <pageMargins left="0.7" right="0.7" top="0.75" bottom="0.75" header="0.3" footer="0.3"/>
      <pageSetup paperSize="9" scale="91" orientation="landscape" r:id="rId3"/>
    </customSheetView>
  </customSheetViews>
  <hyperlinks>
    <hyperlink ref="W2" location="MENU!A1" display="MENU"/>
  </hyperlinks>
  <pageMargins left="0.7" right="0.7" top="0.75" bottom="0.75" header="0.3" footer="0.3"/>
  <pageSetup paperSize="9" scale="61"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262145"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262145" r:id="rId10"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8">
    <tabColor rgb="FF236CB0"/>
    <pageSetUpPr fitToPage="1"/>
  </sheetPr>
  <dimension ref="A1:AO54"/>
  <sheetViews>
    <sheetView view="pageBreakPreview" zoomScaleNormal="85" zoomScaleSheetLayoutView="100" workbookViewId="0">
      <selection activeCell="S16" sqref="S16"/>
    </sheetView>
  </sheetViews>
  <sheetFormatPr defaultColWidth="8.85546875" defaultRowHeight="12.75" outlineLevelRow="1" outlineLevelCol="1" x14ac:dyDescent="0.2"/>
  <cols>
    <col min="1" max="1" width="60.7109375" style="22" customWidth="1"/>
    <col min="2" max="21" width="7.7109375" style="228" customWidth="1"/>
    <col min="22" max="39" width="10.7109375" style="64" hidden="1" customWidth="1" outlineLevel="1"/>
    <col min="40" max="40" width="11.28515625" style="22" bestFit="1" customWidth="1" collapsed="1"/>
    <col min="41" max="41" width="13.42578125" style="22" bestFit="1" customWidth="1"/>
    <col min="42" max="42" width="12.28515625" style="22" bestFit="1" customWidth="1"/>
    <col min="43" max="16384" width="8.85546875" style="22"/>
  </cols>
  <sheetData>
    <row r="1" spans="1:40" s="20" customFormat="1" ht="30" customHeight="1" thickBot="1" x14ac:dyDescent="0.3">
      <c r="A1" s="406" t="s">
        <v>629</v>
      </c>
      <c r="B1" s="411"/>
      <c r="C1" s="411"/>
      <c r="D1" s="411"/>
      <c r="E1" s="411"/>
      <c r="F1" s="411"/>
      <c r="G1" s="411"/>
      <c r="H1" s="411"/>
      <c r="I1" s="411"/>
      <c r="J1" s="411"/>
      <c r="K1" s="411"/>
      <c r="L1" s="411"/>
      <c r="M1" s="411"/>
      <c r="N1" s="411"/>
      <c r="O1" s="411"/>
      <c r="P1" s="411"/>
      <c r="Q1" s="411"/>
      <c r="R1" s="411"/>
      <c r="S1" s="435"/>
      <c r="T1" s="435"/>
      <c r="U1" s="435"/>
      <c r="V1" s="310"/>
      <c r="W1" s="310"/>
      <c r="X1" s="310"/>
      <c r="Y1" s="310"/>
      <c r="Z1" s="311"/>
      <c r="AA1" s="311"/>
      <c r="AB1" s="310"/>
      <c r="AC1" s="310"/>
      <c r="AD1" s="310"/>
      <c r="AE1" s="312"/>
      <c r="AF1" s="312"/>
      <c r="AG1" s="312"/>
      <c r="AH1" s="310"/>
      <c r="AI1" s="310"/>
      <c r="AJ1" s="312"/>
      <c r="AK1" s="312"/>
      <c r="AL1" s="312"/>
      <c r="AM1" s="312"/>
    </row>
    <row r="2" spans="1:40" s="20" customFormat="1" ht="30" customHeight="1" thickBot="1" x14ac:dyDescent="0.3">
      <c r="A2" s="408" t="s">
        <v>177</v>
      </c>
      <c r="B2" s="23">
        <v>2009</v>
      </c>
      <c r="C2" s="23" t="s">
        <v>208</v>
      </c>
      <c r="D2" s="23">
        <v>2010</v>
      </c>
      <c r="E2" s="23" t="s">
        <v>209</v>
      </c>
      <c r="F2" s="23">
        <v>2011</v>
      </c>
      <c r="G2" s="23" t="s">
        <v>210</v>
      </c>
      <c r="H2" s="23">
        <v>2012</v>
      </c>
      <c r="I2" s="23" t="s">
        <v>211</v>
      </c>
      <c r="J2" s="23">
        <v>2013</v>
      </c>
      <c r="K2" s="23" t="s">
        <v>212</v>
      </c>
      <c r="L2" s="23">
        <v>2014</v>
      </c>
      <c r="M2" s="23" t="s">
        <v>213</v>
      </c>
      <c r="N2" s="23">
        <v>2015</v>
      </c>
      <c r="O2" s="23" t="s">
        <v>343</v>
      </c>
      <c r="P2" s="23">
        <v>2016</v>
      </c>
      <c r="Q2" s="23" t="s">
        <v>405</v>
      </c>
      <c r="R2" s="23">
        <v>2017</v>
      </c>
      <c r="S2" s="23" t="s">
        <v>431</v>
      </c>
      <c r="T2" s="23">
        <v>2018</v>
      </c>
      <c r="U2" s="23" t="s">
        <v>577</v>
      </c>
      <c r="V2" s="23" t="s">
        <v>272</v>
      </c>
      <c r="W2" s="23" t="s">
        <v>273</v>
      </c>
      <c r="X2" s="23" t="s">
        <v>260</v>
      </c>
      <c r="Y2" s="23" t="s">
        <v>222</v>
      </c>
      <c r="Z2" s="23" t="s">
        <v>223</v>
      </c>
      <c r="AA2" s="23" t="s">
        <v>274</v>
      </c>
      <c r="AB2" s="23" t="s">
        <v>275</v>
      </c>
      <c r="AC2" s="23" t="s">
        <v>276</v>
      </c>
      <c r="AD2" s="23" t="s">
        <v>238</v>
      </c>
      <c r="AE2" s="23" t="s">
        <v>277</v>
      </c>
      <c r="AF2" s="23" t="s">
        <v>337</v>
      </c>
      <c r="AG2" s="23" t="s">
        <v>342</v>
      </c>
      <c r="AH2" s="23" t="s">
        <v>368</v>
      </c>
      <c r="AI2" s="23" t="s">
        <v>409</v>
      </c>
      <c r="AJ2" s="312" t="s">
        <v>419</v>
      </c>
      <c r="AK2" s="23" t="s">
        <v>435</v>
      </c>
      <c r="AL2" s="23" t="s">
        <v>490</v>
      </c>
      <c r="AM2" s="23" t="s">
        <v>588</v>
      </c>
      <c r="AN2" s="107" t="s">
        <v>215</v>
      </c>
    </row>
    <row r="3" spans="1:40" ht="15" customHeight="1" x14ac:dyDescent="0.25">
      <c r="A3" s="75" t="s">
        <v>105</v>
      </c>
      <c r="B3" s="213"/>
      <c r="C3" s="213"/>
      <c r="D3" s="214"/>
      <c r="E3" s="214"/>
      <c r="F3" s="214"/>
      <c r="G3" s="214"/>
      <c r="H3" s="214"/>
      <c r="I3" s="214"/>
      <c r="J3" s="214"/>
      <c r="K3" s="214"/>
      <c r="L3" s="214"/>
      <c r="M3" s="214"/>
      <c r="N3" s="214"/>
      <c r="O3" s="214"/>
      <c r="P3" s="214"/>
      <c r="Q3" s="214"/>
      <c r="R3" s="214"/>
      <c r="S3" s="214"/>
      <c r="T3" s="214"/>
      <c r="U3" s="214"/>
      <c r="V3" s="214"/>
      <c r="W3" s="214"/>
      <c r="X3" s="214"/>
      <c r="Y3" s="214"/>
      <c r="Z3" s="313"/>
      <c r="AA3" s="214"/>
      <c r="AB3" s="214"/>
      <c r="AC3" s="214"/>
      <c r="AD3" s="214"/>
      <c r="AE3" s="214"/>
      <c r="AF3" s="214"/>
      <c r="AG3" s="214"/>
      <c r="AH3" s="214"/>
      <c r="AI3" s="214"/>
      <c r="AJ3" s="214"/>
      <c r="AK3" s="214"/>
      <c r="AL3" s="214"/>
      <c r="AM3" s="563"/>
    </row>
    <row r="4" spans="1:40" ht="15" customHeight="1" outlineLevel="1" x14ac:dyDescent="0.2">
      <c r="A4" s="167" t="s">
        <v>106</v>
      </c>
      <c r="B4" s="27">
        <v>1124</v>
      </c>
      <c r="C4" s="27">
        <v>594</v>
      </c>
      <c r="D4" s="28">
        <v>1220</v>
      </c>
      <c r="E4" s="28">
        <v>729</v>
      </c>
      <c r="F4" s="28">
        <v>1464</v>
      </c>
      <c r="G4" s="28">
        <v>751</v>
      </c>
      <c r="H4" s="28">
        <v>1507</v>
      </c>
      <c r="I4" s="28">
        <v>810</v>
      </c>
      <c r="J4" s="28">
        <v>1830</v>
      </c>
      <c r="K4" s="28">
        <v>839</v>
      </c>
      <c r="L4" s="27">
        <v>1536</v>
      </c>
      <c r="M4" s="28">
        <v>584</v>
      </c>
      <c r="N4" s="27">
        <v>1131</v>
      </c>
      <c r="O4" s="27">
        <v>539</v>
      </c>
      <c r="P4" s="27">
        <v>1145</v>
      </c>
      <c r="Q4" s="308">
        <v>694</v>
      </c>
      <c r="R4" s="308">
        <v>1392</v>
      </c>
      <c r="S4" s="308">
        <v>660</v>
      </c>
      <c r="T4" s="308">
        <v>1311</v>
      </c>
      <c r="U4" s="308">
        <v>615</v>
      </c>
      <c r="V4" s="215">
        <v>8.5409252669039093E-2</v>
      </c>
      <c r="W4" s="215">
        <v>0.22727272727272729</v>
      </c>
      <c r="X4" s="215">
        <v>0.19999999999999996</v>
      </c>
      <c r="Y4" s="215">
        <v>3.0178326474622708E-2</v>
      </c>
      <c r="Z4" s="215">
        <v>2.9371584699453557E-2</v>
      </c>
      <c r="AA4" s="215">
        <v>7.856191744340868E-2</v>
      </c>
      <c r="AB4" s="215">
        <v>0.21433311214333117</v>
      </c>
      <c r="AC4" s="215">
        <v>3.5802469135802539E-2</v>
      </c>
      <c r="AD4" s="215">
        <v>-0.16065573770491803</v>
      </c>
      <c r="AE4" s="215">
        <v>-0.3039332538736591</v>
      </c>
      <c r="AF4" s="215">
        <v>-0.263671875</v>
      </c>
      <c r="AG4" s="215">
        <v>-7.7054794520547976E-2</v>
      </c>
      <c r="AH4" s="215">
        <v>1.2378426171529622E-2</v>
      </c>
      <c r="AI4" s="215">
        <v>0.27458256029684591</v>
      </c>
      <c r="AJ4" s="215">
        <v>0.20262008733624448</v>
      </c>
      <c r="AK4" s="119">
        <v>-2.7377521613832889E-2</v>
      </c>
      <c r="AL4" s="29">
        <v>-5.8189655172413812E-2</v>
      </c>
      <c r="AM4" s="29">
        <v>-6.8181818181818232E-2</v>
      </c>
      <c r="AN4" s="30"/>
    </row>
    <row r="5" spans="1:40" s="25" customFormat="1" ht="15" customHeight="1" outlineLevel="1" x14ac:dyDescent="0.2">
      <c r="A5" s="118" t="s">
        <v>420</v>
      </c>
      <c r="B5" s="27">
        <v>389</v>
      </c>
      <c r="C5" s="27">
        <v>630</v>
      </c>
      <c r="D5" s="28">
        <v>888</v>
      </c>
      <c r="E5" s="28">
        <v>896</v>
      </c>
      <c r="F5" s="28">
        <v>1195</v>
      </c>
      <c r="G5" s="28">
        <v>633</v>
      </c>
      <c r="H5" s="28">
        <v>918</v>
      </c>
      <c r="I5" s="28">
        <v>407</v>
      </c>
      <c r="J5" s="28">
        <v>720</v>
      </c>
      <c r="K5" s="28">
        <v>509</v>
      </c>
      <c r="L5" s="27">
        <v>829</v>
      </c>
      <c r="M5" s="28">
        <v>289</v>
      </c>
      <c r="N5" s="27">
        <v>718</v>
      </c>
      <c r="O5" s="27">
        <v>294</v>
      </c>
      <c r="P5" s="27">
        <v>0</v>
      </c>
      <c r="Q5" s="308">
        <v>0</v>
      </c>
      <c r="R5" s="308">
        <v>0</v>
      </c>
      <c r="S5" s="308">
        <v>0</v>
      </c>
      <c r="T5" s="308">
        <v>0</v>
      </c>
      <c r="U5" s="308">
        <v>0</v>
      </c>
      <c r="V5" s="215">
        <v>1.2827763496143958</v>
      </c>
      <c r="W5" s="215">
        <v>0.42222222222222228</v>
      </c>
      <c r="X5" s="215">
        <v>0.34572072072072069</v>
      </c>
      <c r="Y5" s="215">
        <v>-0.2935267857142857</v>
      </c>
      <c r="Z5" s="215">
        <v>-0.23179916317991633</v>
      </c>
      <c r="AA5" s="215">
        <v>-0.35703001579778826</v>
      </c>
      <c r="AB5" s="215">
        <v>-0.21568627450980393</v>
      </c>
      <c r="AC5" s="215">
        <v>0.25061425061425058</v>
      </c>
      <c r="AD5" s="215">
        <v>0.1513888888888888</v>
      </c>
      <c r="AE5" s="215">
        <v>-0.4322200392927309</v>
      </c>
      <c r="AF5" s="215">
        <v>-0.13389626055488535</v>
      </c>
      <c r="AG5" s="215">
        <v>1.730103806228378E-2</v>
      </c>
      <c r="AH5" s="215">
        <v>-1</v>
      </c>
      <c r="AI5" s="215">
        <v>0.10544217687074831</v>
      </c>
      <c r="AJ5" s="215">
        <v>0</v>
      </c>
      <c r="AK5" s="215"/>
      <c r="AL5" s="215"/>
      <c r="AM5" s="215"/>
      <c r="AN5" s="146"/>
    </row>
    <row r="6" spans="1:40" s="25" customFormat="1" ht="15" customHeight="1" outlineLevel="1" x14ac:dyDescent="0.2">
      <c r="A6" s="133" t="s">
        <v>437</v>
      </c>
      <c r="B6" s="27"/>
      <c r="C6" s="27"/>
      <c r="D6" s="308"/>
      <c r="E6" s="308"/>
      <c r="F6" s="308"/>
      <c r="G6" s="308"/>
      <c r="H6" s="308"/>
      <c r="I6" s="308"/>
      <c r="J6" s="308"/>
      <c r="K6" s="308"/>
      <c r="L6" s="27"/>
      <c r="M6" s="308"/>
      <c r="N6" s="27"/>
      <c r="O6" s="27"/>
      <c r="P6" s="27">
        <v>184</v>
      </c>
      <c r="Q6" s="308">
        <v>134</v>
      </c>
      <c r="R6" s="308">
        <v>530</v>
      </c>
      <c r="S6" s="308">
        <v>196</v>
      </c>
      <c r="T6" s="308">
        <v>430</v>
      </c>
      <c r="U6" s="308">
        <v>192</v>
      </c>
      <c r="V6" s="215"/>
      <c r="W6" s="215"/>
      <c r="X6" s="215"/>
      <c r="Y6" s="215"/>
      <c r="Z6" s="215"/>
      <c r="AA6" s="215"/>
      <c r="AB6" s="215"/>
      <c r="AC6" s="215"/>
      <c r="AD6" s="215"/>
      <c r="AE6" s="215"/>
      <c r="AF6" s="215"/>
      <c r="AG6" s="215"/>
      <c r="AH6" s="215"/>
      <c r="AI6" s="215"/>
      <c r="AJ6" s="215">
        <v>1.8804347826086958</v>
      </c>
      <c r="AK6" s="215">
        <v>0.46268656716417911</v>
      </c>
      <c r="AL6" s="215">
        <v>-0.18867924528301883</v>
      </c>
      <c r="AM6" s="215">
        <v>-2.0408163265306145E-2</v>
      </c>
      <c r="AN6" s="146"/>
    </row>
    <row r="7" spans="1:40" s="25" customFormat="1" ht="15" customHeight="1" outlineLevel="1" x14ac:dyDescent="0.2">
      <c r="A7" s="118" t="s">
        <v>416</v>
      </c>
      <c r="B7" s="27"/>
      <c r="C7" s="27"/>
      <c r="D7" s="308"/>
      <c r="E7" s="308"/>
      <c r="F7" s="308"/>
      <c r="G7" s="308"/>
      <c r="H7" s="308"/>
      <c r="I7" s="308"/>
      <c r="J7" s="308"/>
      <c r="K7" s="308"/>
      <c r="L7" s="27"/>
      <c r="M7" s="308"/>
      <c r="N7" s="27"/>
      <c r="O7" s="27"/>
      <c r="P7" s="27">
        <v>292</v>
      </c>
      <c r="Q7" s="308">
        <v>142</v>
      </c>
      <c r="R7" s="308">
        <v>297</v>
      </c>
      <c r="S7" s="308">
        <v>259</v>
      </c>
      <c r="T7" s="308">
        <v>436</v>
      </c>
      <c r="U7" s="308">
        <v>246</v>
      </c>
      <c r="V7" s="215"/>
      <c r="W7" s="215"/>
      <c r="X7" s="215"/>
      <c r="Y7" s="215"/>
      <c r="Z7" s="215"/>
      <c r="AA7" s="215"/>
      <c r="AB7" s="215"/>
      <c r="AC7" s="215"/>
      <c r="AD7" s="215"/>
      <c r="AE7" s="215"/>
      <c r="AF7" s="215"/>
      <c r="AG7" s="215"/>
      <c r="AH7" s="215"/>
      <c r="AI7" s="215"/>
      <c r="AJ7" s="215">
        <v>1.7123287671232834E-2</v>
      </c>
      <c r="AK7" s="215">
        <v>0.823943661971831</v>
      </c>
      <c r="AL7" s="215">
        <v>0.46801346801346799</v>
      </c>
      <c r="AM7" s="215">
        <v>-5.0193050193050204E-2</v>
      </c>
      <c r="AN7" s="146"/>
    </row>
    <row r="8" spans="1:40" s="25" customFormat="1" ht="15" customHeight="1" outlineLevel="1" x14ac:dyDescent="0.2">
      <c r="A8" s="118" t="s">
        <v>417</v>
      </c>
      <c r="B8" s="27"/>
      <c r="C8" s="27"/>
      <c r="D8" s="308"/>
      <c r="E8" s="308"/>
      <c r="F8" s="308"/>
      <c r="G8" s="308"/>
      <c r="H8" s="308"/>
      <c r="I8" s="308"/>
      <c r="J8" s="308"/>
      <c r="K8" s="308"/>
      <c r="L8" s="27"/>
      <c r="M8" s="308"/>
      <c r="N8" s="27"/>
      <c r="O8" s="27"/>
      <c r="P8" s="27">
        <v>79</v>
      </c>
      <c r="Q8" s="308">
        <v>0</v>
      </c>
      <c r="R8" s="308">
        <v>0</v>
      </c>
      <c r="S8" s="308">
        <v>0</v>
      </c>
      <c r="T8" s="308">
        <v>0</v>
      </c>
      <c r="U8" s="308">
        <v>0</v>
      </c>
      <c r="V8" s="215"/>
      <c r="W8" s="215"/>
      <c r="X8" s="215"/>
      <c r="Y8" s="215"/>
      <c r="Z8" s="215"/>
      <c r="AA8" s="215"/>
      <c r="AB8" s="215"/>
      <c r="AC8" s="215"/>
      <c r="AD8" s="215"/>
      <c r="AE8" s="215"/>
      <c r="AF8" s="215"/>
      <c r="AG8" s="215"/>
      <c r="AH8" s="215"/>
      <c r="AI8" s="215"/>
      <c r="AJ8" s="215">
        <v>0.17721518987341778</v>
      </c>
      <c r="AK8" s="215"/>
      <c r="AL8" s="215"/>
      <c r="AM8" s="215"/>
      <c r="AN8" s="146"/>
    </row>
    <row r="9" spans="1:40" ht="15" customHeight="1" outlineLevel="1" x14ac:dyDescent="0.2">
      <c r="A9" s="167" t="s">
        <v>107</v>
      </c>
      <c r="B9" s="27">
        <v>1013</v>
      </c>
      <c r="C9" s="27">
        <v>528</v>
      </c>
      <c r="D9" s="28">
        <v>1059</v>
      </c>
      <c r="E9" s="28">
        <v>579</v>
      </c>
      <c r="F9" s="28">
        <v>1157</v>
      </c>
      <c r="G9" s="28">
        <v>607</v>
      </c>
      <c r="H9" s="28">
        <v>1247</v>
      </c>
      <c r="I9" s="28">
        <v>553</v>
      </c>
      <c r="J9" s="28">
        <v>713</v>
      </c>
      <c r="K9" s="28">
        <v>285</v>
      </c>
      <c r="L9" s="27">
        <v>537</v>
      </c>
      <c r="M9" s="28">
        <v>198</v>
      </c>
      <c r="N9" s="27">
        <v>459</v>
      </c>
      <c r="O9" s="27">
        <v>203</v>
      </c>
      <c r="P9" s="27">
        <v>520</v>
      </c>
      <c r="Q9" s="308">
        <v>294</v>
      </c>
      <c r="R9" s="308">
        <v>732</v>
      </c>
      <c r="S9" s="308">
        <v>325</v>
      </c>
      <c r="T9" s="308">
        <v>727</v>
      </c>
      <c r="U9" s="308">
        <v>275</v>
      </c>
      <c r="V9" s="215">
        <v>4.5409674234945685E-2</v>
      </c>
      <c r="W9" s="215">
        <v>9.6590909090909172E-2</v>
      </c>
      <c r="X9" s="215">
        <v>9.2540132200188863E-2</v>
      </c>
      <c r="Y9" s="215">
        <v>4.8359240069084652E-2</v>
      </c>
      <c r="Z9" s="215">
        <v>7.7787381158167745E-2</v>
      </c>
      <c r="AA9" s="215">
        <v>-8.8962108731466261E-2</v>
      </c>
      <c r="AB9" s="215">
        <v>-0.42822774659182039</v>
      </c>
      <c r="AC9" s="215">
        <v>-0.48462929475587702</v>
      </c>
      <c r="AD9" s="215">
        <v>-0.24684431977559607</v>
      </c>
      <c r="AE9" s="215">
        <v>-0.30526315789473679</v>
      </c>
      <c r="AF9" s="215">
        <v>-0.14525139664804465</v>
      </c>
      <c r="AG9" s="215">
        <v>2.5252525252525304E-2</v>
      </c>
      <c r="AH9" s="215">
        <v>0.13289760348583868</v>
      </c>
      <c r="AI9" s="215">
        <v>0.38423645320197042</v>
      </c>
      <c r="AJ9" s="215">
        <v>0.35192307692307701</v>
      </c>
      <c r="AK9" s="215">
        <v>0.10544217687074831</v>
      </c>
      <c r="AL9" s="215">
        <v>-6.8306010928961269E-3</v>
      </c>
      <c r="AM9" s="215">
        <v>-0.15384615384615385</v>
      </c>
      <c r="AN9" s="30"/>
    </row>
    <row r="10" spans="1:40" s="25" customFormat="1" ht="15" customHeight="1" outlineLevel="1" x14ac:dyDescent="0.2">
      <c r="A10" s="118" t="s">
        <v>108</v>
      </c>
      <c r="B10" s="27"/>
      <c r="C10" s="27"/>
      <c r="D10" s="28"/>
      <c r="E10" s="28"/>
      <c r="F10" s="28"/>
      <c r="G10" s="28"/>
      <c r="H10" s="28"/>
      <c r="I10" s="28"/>
      <c r="J10" s="28">
        <v>199</v>
      </c>
      <c r="K10" s="28">
        <v>59</v>
      </c>
      <c r="L10" s="27">
        <v>128</v>
      </c>
      <c r="M10" s="28">
        <v>35</v>
      </c>
      <c r="N10" s="27">
        <v>66</v>
      </c>
      <c r="O10" s="27">
        <v>25</v>
      </c>
      <c r="P10" s="27">
        <v>60</v>
      </c>
      <c r="Q10" s="308">
        <v>48</v>
      </c>
      <c r="R10" s="308">
        <v>81</v>
      </c>
      <c r="S10" s="308">
        <v>45</v>
      </c>
      <c r="T10" s="308">
        <v>87</v>
      </c>
      <c r="U10" s="308">
        <v>48</v>
      </c>
      <c r="V10" s="215"/>
      <c r="W10" s="215"/>
      <c r="X10" s="215"/>
      <c r="Y10" s="215"/>
      <c r="Z10" s="215"/>
      <c r="AA10" s="215"/>
      <c r="AB10" s="215"/>
      <c r="AC10" s="215"/>
      <c r="AD10" s="215"/>
      <c r="AE10" s="215"/>
      <c r="AF10" s="215"/>
      <c r="AG10" s="215"/>
      <c r="AH10" s="215"/>
      <c r="AI10" s="215"/>
      <c r="AJ10" s="215"/>
      <c r="AK10" s="215">
        <v>-6.25E-2</v>
      </c>
      <c r="AL10" s="215">
        <v>7.4074074074074181E-2</v>
      </c>
      <c r="AM10" s="215">
        <v>6.6666666666666652E-2</v>
      </c>
      <c r="AN10" s="146"/>
    </row>
    <row r="11" spans="1:40" ht="15" customHeight="1" outlineLevel="1" x14ac:dyDescent="0.2">
      <c r="A11" s="167" t="s">
        <v>347</v>
      </c>
      <c r="B11" s="27">
        <v>520</v>
      </c>
      <c r="C11" s="27">
        <v>273</v>
      </c>
      <c r="D11" s="28">
        <v>610</v>
      </c>
      <c r="E11" s="28">
        <v>272</v>
      </c>
      <c r="F11" s="28">
        <v>558</v>
      </c>
      <c r="G11" s="28">
        <v>309</v>
      </c>
      <c r="H11" s="28">
        <v>651</v>
      </c>
      <c r="I11" s="28">
        <v>297</v>
      </c>
      <c r="J11" s="28">
        <v>557</v>
      </c>
      <c r="K11" s="28">
        <v>185</v>
      </c>
      <c r="L11" s="27">
        <v>403</v>
      </c>
      <c r="M11" s="28">
        <v>119</v>
      </c>
      <c r="N11" s="27">
        <v>186</v>
      </c>
      <c r="O11" s="27">
        <v>72</v>
      </c>
      <c r="P11" s="27">
        <v>170</v>
      </c>
      <c r="Q11" s="308">
        <v>105</v>
      </c>
      <c r="R11" s="308">
        <v>242</v>
      </c>
      <c r="S11" s="308">
        <v>91</v>
      </c>
      <c r="T11" s="308">
        <v>200</v>
      </c>
      <c r="U11" s="308">
        <v>96</v>
      </c>
      <c r="V11" s="215">
        <v>0.17307692307692313</v>
      </c>
      <c r="W11" s="215">
        <v>-3.66300366300365E-3</v>
      </c>
      <c r="X11" s="215">
        <v>-8.5245901639344313E-2</v>
      </c>
      <c r="Y11" s="215">
        <v>0.13602941176470584</v>
      </c>
      <c r="Z11" s="215">
        <v>0.16666666666666674</v>
      </c>
      <c r="AA11" s="215">
        <v>-3.8834951456310662E-2</v>
      </c>
      <c r="AB11" s="215">
        <v>-0.14439324116743468</v>
      </c>
      <c r="AC11" s="215">
        <v>-0.37710437710437705</v>
      </c>
      <c r="AD11" s="215">
        <v>-0.27648114901256737</v>
      </c>
      <c r="AE11" s="215">
        <v>-0.35675675675675678</v>
      </c>
      <c r="AF11" s="215">
        <v>-0.53846153846153844</v>
      </c>
      <c r="AG11" s="215">
        <v>-0.39495798319327735</v>
      </c>
      <c r="AH11" s="215">
        <v>-8.6021505376344121E-2</v>
      </c>
      <c r="AI11" s="215">
        <v>0.16666666666666674</v>
      </c>
      <c r="AJ11" s="215">
        <v>0.19999999999999996</v>
      </c>
      <c r="AK11" s="215">
        <v>-0.1333333333333333</v>
      </c>
      <c r="AL11" s="215">
        <v>-0.17355371900826444</v>
      </c>
      <c r="AM11" s="215">
        <v>5.4945054945054972E-2</v>
      </c>
      <c r="AN11" s="30"/>
    </row>
    <row r="12" spans="1:40" ht="15" customHeight="1" outlineLevel="1" x14ac:dyDescent="0.2">
      <c r="A12" s="167" t="s">
        <v>348</v>
      </c>
      <c r="B12" s="27">
        <v>143</v>
      </c>
      <c r="C12" s="27">
        <v>86</v>
      </c>
      <c r="D12" s="28">
        <v>169</v>
      </c>
      <c r="E12" s="28">
        <v>99</v>
      </c>
      <c r="F12" s="28">
        <v>172</v>
      </c>
      <c r="G12" s="28">
        <v>99</v>
      </c>
      <c r="H12" s="28">
        <v>193</v>
      </c>
      <c r="I12" s="28">
        <v>144</v>
      </c>
      <c r="J12" s="28">
        <v>258</v>
      </c>
      <c r="K12" s="28">
        <v>110</v>
      </c>
      <c r="L12" s="27">
        <v>194</v>
      </c>
      <c r="M12" s="28">
        <v>59</v>
      </c>
      <c r="N12" s="27">
        <v>128</v>
      </c>
      <c r="O12" s="27">
        <v>67</v>
      </c>
      <c r="P12" s="27">
        <v>122</v>
      </c>
      <c r="Q12" s="308">
        <v>106</v>
      </c>
      <c r="R12" s="308">
        <v>221</v>
      </c>
      <c r="S12" s="308">
        <v>110</v>
      </c>
      <c r="T12" s="308">
        <v>212</v>
      </c>
      <c r="U12" s="308">
        <v>110</v>
      </c>
      <c r="V12" s="215">
        <v>0.18181818181818188</v>
      </c>
      <c r="W12" s="215">
        <v>0.15116279069767447</v>
      </c>
      <c r="X12" s="215">
        <v>1.7751479289940919E-2</v>
      </c>
      <c r="Y12" s="215">
        <v>0</v>
      </c>
      <c r="Z12" s="215">
        <v>0.12209302325581395</v>
      </c>
      <c r="AA12" s="215">
        <v>0.45454545454545459</v>
      </c>
      <c r="AB12" s="215">
        <v>0.33678756476683946</v>
      </c>
      <c r="AC12" s="215">
        <v>-0.23611111111111116</v>
      </c>
      <c r="AD12" s="215">
        <v>-0.24806201550387597</v>
      </c>
      <c r="AE12" s="215">
        <v>-0.46363636363636362</v>
      </c>
      <c r="AF12" s="215">
        <v>-0.34020618556701032</v>
      </c>
      <c r="AG12" s="215">
        <v>0.13559322033898313</v>
      </c>
      <c r="AH12" s="215">
        <v>-4.6875E-2</v>
      </c>
      <c r="AI12" s="215">
        <v>0.58208955223880587</v>
      </c>
      <c r="AJ12" s="215">
        <v>0.81147540983606548</v>
      </c>
      <c r="AK12" s="215">
        <v>3.7735849056603765E-2</v>
      </c>
      <c r="AL12" s="215">
        <v>-4.0723981900452455E-2</v>
      </c>
      <c r="AM12" s="215">
        <v>0</v>
      </c>
      <c r="AN12" s="30"/>
    </row>
    <row r="13" spans="1:40" ht="15" customHeight="1" outlineLevel="1" x14ac:dyDescent="0.2">
      <c r="A13" s="167" t="s">
        <v>349</v>
      </c>
      <c r="B13" s="27">
        <v>137</v>
      </c>
      <c r="C13" s="27">
        <v>87</v>
      </c>
      <c r="D13" s="28">
        <v>182</v>
      </c>
      <c r="E13" s="28">
        <v>118</v>
      </c>
      <c r="F13" s="28">
        <v>236</v>
      </c>
      <c r="G13" s="28">
        <v>104</v>
      </c>
      <c r="H13" s="28">
        <v>216</v>
      </c>
      <c r="I13" s="28">
        <v>110</v>
      </c>
      <c r="J13" s="28">
        <v>221</v>
      </c>
      <c r="K13" s="28">
        <v>107</v>
      </c>
      <c r="L13" s="27">
        <v>191</v>
      </c>
      <c r="M13" s="28">
        <v>58</v>
      </c>
      <c r="N13" s="27">
        <v>108</v>
      </c>
      <c r="O13" s="27">
        <v>47</v>
      </c>
      <c r="P13" s="27">
        <v>101</v>
      </c>
      <c r="Q13" s="308">
        <v>69</v>
      </c>
      <c r="R13" s="308">
        <v>143</v>
      </c>
      <c r="S13" s="308">
        <v>74</v>
      </c>
      <c r="T13" s="308">
        <v>143</v>
      </c>
      <c r="U13" s="308">
        <v>77</v>
      </c>
      <c r="V13" s="215">
        <v>0.32846715328467146</v>
      </c>
      <c r="W13" s="215">
        <v>0.35632183908045967</v>
      </c>
      <c r="X13" s="215">
        <v>0.29670329670329676</v>
      </c>
      <c r="Y13" s="215">
        <v>-0.11864406779661019</v>
      </c>
      <c r="Z13" s="215">
        <v>-8.4745762711864403E-2</v>
      </c>
      <c r="AA13" s="215">
        <v>5.7692307692307709E-2</v>
      </c>
      <c r="AB13" s="215">
        <v>2.314814814814814E-2</v>
      </c>
      <c r="AC13" s="215">
        <v>-2.7272727272727226E-2</v>
      </c>
      <c r="AD13" s="215">
        <v>-0.13574660633484159</v>
      </c>
      <c r="AE13" s="215">
        <v>-0.45794392523364491</v>
      </c>
      <c r="AF13" s="215">
        <v>-0.43455497382198949</v>
      </c>
      <c r="AG13" s="215">
        <v>-0.18965517241379315</v>
      </c>
      <c r="AH13" s="215">
        <v>-6.481481481481477E-2</v>
      </c>
      <c r="AI13" s="215">
        <v>0.36170212765957444</v>
      </c>
      <c r="AJ13" s="215">
        <v>0.30693069306930698</v>
      </c>
      <c r="AK13" s="215">
        <v>7.2463768115942129E-2</v>
      </c>
      <c r="AL13" s="215">
        <v>0</v>
      </c>
      <c r="AM13" s="215">
        <v>4.0540540540540571E-2</v>
      </c>
      <c r="AN13" s="30"/>
    </row>
    <row r="14" spans="1:40" ht="15" customHeight="1" outlineLevel="1" x14ac:dyDescent="0.2">
      <c r="A14" s="167" t="s">
        <v>109</v>
      </c>
      <c r="B14" s="27">
        <v>161</v>
      </c>
      <c r="C14" s="27">
        <v>67</v>
      </c>
      <c r="D14" s="28">
        <v>171</v>
      </c>
      <c r="E14" s="28">
        <v>87</v>
      </c>
      <c r="F14" s="28">
        <v>149</v>
      </c>
      <c r="G14" s="28">
        <v>82</v>
      </c>
      <c r="H14" s="28">
        <v>156</v>
      </c>
      <c r="I14" s="28">
        <v>77</v>
      </c>
      <c r="J14" s="28">
        <v>117</v>
      </c>
      <c r="K14" s="28">
        <v>48</v>
      </c>
      <c r="L14" s="27">
        <v>87</v>
      </c>
      <c r="M14" s="28">
        <v>39</v>
      </c>
      <c r="N14" s="27">
        <v>75</v>
      </c>
      <c r="O14" s="27">
        <v>31</v>
      </c>
      <c r="P14" s="27">
        <v>71</v>
      </c>
      <c r="Q14" s="308">
        <v>30</v>
      </c>
      <c r="R14" s="308">
        <v>65</v>
      </c>
      <c r="S14" s="308">
        <v>32</v>
      </c>
      <c r="T14" s="308">
        <v>70</v>
      </c>
      <c r="U14" s="308">
        <v>38</v>
      </c>
      <c r="V14" s="215">
        <v>6.211180124223592E-2</v>
      </c>
      <c r="W14" s="215">
        <v>0.29850746268656714</v>
      </c>
      <c r="X14" s="215">
        <v>-0.12865497076023391</v>
      </c>
      <c r="Y14" s="215">
        <v>-5.7471264367816133E-2</v>
      </c>
      <c r="Z14" s="215">
        <v>4.6979865771812124E-2</v>
      </c>
      <c r="AA14" s="215">
        <v>-6.0975609756097615E-2</v>
      </c>
      <c r="AB14" s="215">
        <v>-0.25</v>
      </c>
      <c r="AC14" s="215">
        <v>-0.37662337662337664</v>
      </c>
      <c r="AD14" s="215">
        <v>-0.25641025641025639</v>
      </c>
      <c r="AE14" s="215">
        <v>-0.1875</v>
      </c>
      <c r="AF14" s="215">
        <v>-0.13793103448275867</v>
      </c>
      <c r="AG14" s="215">
        <v>-0.20512820512820518</v>
      </c>
      <c r="AH14" s="215">
        <v>-5.3333333333333344E-2</v>
      </c>
      <c r="AI14" s="215">
        <v>-6.4516129032258118E-2</v>
      </c>
      <c r="AJ14" s="215">
        <v>-9.8591549295774628E-2</v>
      </c>
      <c r="AK14" s="215">
        <v>6.6666666666666652E-2</v>
      </c>
      <c r="AL14" s="215">
        <v>7.6923076923076872E-2</v>
      </c>
      <c r="AM14" s="215">
        <v>0.1875</v>
      </c>
      <c r="AN14" s="30"/>
    </row>
    <row r="15" spans="1:40" ht="15" customHeight="1" outlineLevel="1" x14ac:dyDescent="0.2">
      <c r="A15" s="167" t="s">
        <v>110</v>
      </c>
      <c r="B15" s="27">
        <v>75</v>
      </c>
      <c r="C15" s="27">
        <v>57</v>
      </c>
      <c r="D15" s="28">
        <v>118</v>
      </c>
      <c r="E15" s="28">
        <v>46</v>
      </c>
      <c r="F15" s="28">
        <v>115</v>
      </c>
      <c r="G15" s="28">
        <v>63</v>
      </c>
      <c r="H15" s="28">
        <v>109</v>
      </c>
      <c r="I15" s="28">
        <v>41</v>
      </c>
      <c r="J15" s="28">
        <v>141</v>
      </c>
      <c r="K15" s="28">
        <v>84</v>
      </c>
      <c r="L15" s="27">
        <v>162</v>
      </c>
      <c r="M15" s="28">
        <v>59</v>
      </c>
      <c r="N15" s="27">
        <v>126</v>
      </c>
      <c r="O15" s="27">
        <v>64</v>
      </c>
      <c r="P15" s="27">
        <v>143</v>
      </c>
      <c r="Q15" s="308">
        <v>75</v>
      </c>
      <c r="R15" s="308">
        <v>152</v>
      </c>
      <c r="S15" s="308">
        <v>70</v>
      </c>
      <c r="T15" s="308">
        <v>158</v>
      </c>
      <c r="U15" s="308">
        <v>76</v>
      </c>
      <c r="V15" s="215">
        <v>0.57333333333333325</v>
      </c>
      <c r="W15" s="215">
        <v>-0.19298245614035092</v>
      </c>
      <c r="X15" s="215">
        <v>-2.5423728813559365E-2</v>
      </c>
      <c r="Y15" s="215">
        <v>0.36956521739130443</v>
      </c>
      <c r="Z15" s="215">
        <v>-5.2173913043478293E-2</v>
      </c>
      <c r="AA15" s="215">
        <v>-0.34920634920634919</v>
      </c>
      <c r="AB15" s="215">
        <v>0.29357798165137616</v>
      </c>
      <c r="AC15" s="215">
        <v>1.0487804878048781</v>
      </c>
      <c r="AD15" s="215">
        <v>0.14893617021276606</v>
      </c>
      <c r="AE15" s="215">
        <v>-0.29761904761904767</v>
      </c>
      <c r="AF15" s="215">
        <v>-0.22222222222222221</v>
      </c>
      <c r="AG15" s="215">
        <v>8.4745762711864403E-2</v>
      </c>
      <c r="AH15" s="215">
        <v>0.13492063492063489</v>
      </c>
      <c r="AI15" s="215">
        <v>0.140625</v>
      </c>
      <c r="AJ15" s="215">
        <v>4.8951048951048959E-2</v>
      </c>
      <c r="AK15" s="215">
        <v>-4.0000000000000036E-2</v>
      </c>
      <c r="AL15" s="215">
        <v>3.9473684210526327E-2</v>
      </c>
      <c r="AM15" s="215">
        <v>8.5714285714285632E-2</v>
      </c>
      <c r="AN15" s="30"/>
    </row>
    <row r="16" spans="1:40" ht="15" customHeight="1" outlineLevel="1" x14ac:dyDescent="0.2">
      <c r="A16" s="171" t="s">
        <v>111</v>
      </c>
      <c r="B16" s="122">
        <v>3562</v>
      </c>
      <c r="C16" s="122">
        <v>2322</v>
      </c>
      <c r="D16" s="122">
        <v>4417</v>
      </c>
      <c r="E16" s="122">
        <v>2826</v>
      </c>
      <c r="F16" s="122">
        <v>5046</v>
      </c>
      <c r="G16" s="122">
        <v>2648</v>
      </c>
      <c r="H16" s="122">
        <v>4997</v>
      </c>
      <c r="I16" s="122">
        <v>2439</v>
      </c>
      <c r="J16" s="121">
        <v>4756</v>
      </c>
      <c r="K16" s="121">
        <v>2226</v>
      </c>
      <c r="L16" s="121">
        <v>4067</v>
      </c>
      <c r="M16" s="121">
        <v>1440</v>
      </c>
      <c r="N16" s="121">
        <v>2997</v>
      </c>
      <c r="O16" s="121">
        <v>1342</v>
      </c>
      <c r="P16" s="121">
        <v>2887</v>
      </c>
      <c r="Q16" s="122">
        <v>1697</v>
      </c>
      <c r="R16" s="122">
        <v>3855</v>
      </c>
      <c r="S16" s="427">
        <v>1862</v>
      </c>
      <c r="T16" s="122">
        <v>3774</v>
      </c>
      <c r="U16" s="122">
        <v>1773</v>
      </c>
      <c r="V16" s="215">
        <v>0.2400336889387984</v>
      </c>
      <c r="W16" s="215">
        <v>0.21705426356589141</v>
      </c>
      <c r="X16" s="215">
        <v>0.14240434684174774</v>
      </c>
      <c r="Y16" s="215">
        <v>-6.2986553432413328E-2</v>
      </c>
      <c r="Z16" s="215">
        <v>-9.7106619104241343E-3</v>
      </c>
      <c r="AA16" s="215">
        <v>-7.8927492447129932E-2</v>
      </c>
      <c r="AB16" s="215">
        <v>-4.8228937362417401E-2</v>
      </c>
      <c r="AC16" s="215">
        <v>-8.7330873308733126E-2</v>
      </c>
      <c r="AD16" s="215">
        <v>-0.14486963835155597</v>
      </c>
      <c r="AE16" s="215">
        <v>-0.35309973045822107</v>
      </c>
      <c r="AF16" s="215">
        <v>-0.26309318908286206</v>
      </c>
      <c r="AG16" s="215">
        <v>-6.8055555555555536E-2</v>
      </c>
      <c r="AH16" s="215">
        <v>-3.670337003670332E-2</v>
      </c>
      <c r="AI16" s="215">
        <v>0.2645305514157974</v>
      </c>
      <c r="AJ16" s="215">
        <v>0.33425701420159326</v>
      </c>
      <c r="AK16" s="215">
        <v>0.10724808485562765</v>
      </c>
      <c r="AL16" s="215">
        <v>-2.1011673151751009E-2</v>
      </c>
      <c r="AM16" s="215">
        <v>-4.779806659505903E-2</v>
      </c>
      <c r="AN16" s="30"/>
    </row>
    <row r="17" spans="1:41" ht="15" customHeight="1" outlineLevel="1" x14ac:dyDescent="0.2">
      <c r="A17" s="133" t="s">
        <v>630</v>
      </c>
      <c r="B17" s="28">
        <v>-348</v>
      </c>
      <c r="C17" s="27">
        <v>-211</v>
      </c>
      <c r="D17" s="28">
        <v>-425</v>
      </c>
      <c r="E17" s="28">
        <v>-230</v>
      </c>
      <c r="F17" s="28">
        <v>-425</v>
      </c>
      <c r="G17" s="28">
        <v>-158</v>
      </c>
      <c r="H17" s="28">
        <v>-22</v>
      </c>
      <c r="I17" s="28">
        <v>-8</v>
      </c>
      <c r="J17" s="27">
        <v>0</v>
      </c>
      <c r="K17" s="27">
        <v>0</v>
      </c>
      <c r="L17" s="27">
        <v>0</v>
      </c>
      <c r="M17" s="27">
        <v>0</v>
      </c>
      <c r="N17" s="27">
        <v>0</v>
      </c>
      <c r="O17" s="27">
        <v>0</v>
      </c>
      <c r="P17" s="27">
        <v>0</v>
      </c>
      <c r="Q17" s="308">
        <v>0</v>
      </c>
      <c r="R17" s="308">
        <v>0</v>
      </c>
      <c r="S17" s="308">
        <v>0</v>
      </c>
      <c r="T17" s="308">
        <v>0</v>
      </c>
      <c r="U17" s="308">
        <v>0</v>
      </c>
      <c r="V17" s="215">
        <v>0.22126436781609193</v>
      </c>
      <c r="W17" s="215">
        <v>9.004739336492884E-2</v>
      </c>
      <c r="X17" s="215">
        <v>0</v>
      </c>
      <c r="Y17" s="215">
        <v>-0.31304347826086953</v>
      </c>
      <c r="Z17" s="215">
        <v>-0.94823529411764707</v>
      </c>
      <c r="AA17" s="215">
        <v>-0.94936708860759489</v>
      </c>
      <c r="AB17" s="215">
        <v>-1</v>
      </c>
      <c r="AC17" s="215">
        <v>-1</v>
      </c>
      <c r="AD17" s="215">
        <v>0</v>
      </c>
      <c r="AE17" s="215">
        <v>0</v>
      </c>
      <c r="AF17" s="215">
        <v>0</v>
      </c>
      <c r="AG17" s="215">
        <v>0</v>
      </c>
      <c r="AH17" s="215">
        <v>0</v>
      </c>
      <c r="AI17" s="215">
        <v>1</v>
      </c>
      <c r="AJ17" s="215">
        <v>2</v>
      </c>
      <c r="AK17" s="215"/>
      <c r="AL17" s="215"/>
      <c r="AM17" s="215"/>
      <c r="AN17" s="30"/>
    </row>
    <row r="18" spans="1:41" ht="15" customHeight="1" outlineLevel="1" x14ac:dyDescent="0.2">
      <c r="A18" s="171" t="s">
        <v>112</v>
      </c>
      <c r="B18" s="122">
        <v>3214</v>
      </c>
      <c r="C18" s="122">
        <v>2111</v>
      </c>
      <c r="D18" s="122">
        <v>3992</v>
      </c>
      <c r="E18" s="122">
        <v>2596</v>
      </c>
      <c r="F18" s="122">
        <v>4621</v>
      </c>
      <c r="G18" s="122">
        <v>2490</v>
      </c>
      <c r="H18" s="122">
        <v>4975</v>
      </c>
      <c r="I18" s="122">
        <v>2431</v>
      </c>
      <c r="J18" s="121">
        <v>4756</v>
      </c>
      <c r="K18" s="121">
        <v>2226</v>
      </c>
      <c r="L18" s="121">
        <v>4067</v>
      </c>
      <c r="M18" s="121">
        <v>1440</v>
      </c>
      <c r="N18" s="121">
        <v>2997</v>
      </c>
      <c r="O18" s="121">
        <v>1342</v>
      </c>
      <c r="P18" s="121">
        <v>2887</v>
      </c>
      <c r="Q18" s="122">
        <v>1697</v>
      </c>
      <c r="R18" s="122">
        <v>3855</v>
      </c>
      <c r="S18" s="427">
        <v>1862</v>
      </c>
      <c r="T18" s="122">
        <v>3774</v>
      </c>
      <c r="U18" s="122">
        <v>1773</v>
      </c>
      <c r="V18" s="215">
        <v>0.24206596141879277</v>
      </c>
      <c r="W18" s="215">
        <v>0.22974893415442921</v>
      </c>
      <c r="X18" s="215">
        <v>0.15756513026052099</v>
      </c>
      <c r="Y18" s="215">
        <v>-4.083204930662554E-2</v>
      </c>
      <c r="Z18" s="215">
        <v>7.6606795066002986E-2</v>
      </c>
      <c r="AA18" s="215">
        <v>-2.3694779116465892E-2</v>
      </c>
      <c r="AB18" s="215">
        <v>-4.4020100502512594E-2</v>
      </c>
      <c r="AC18" s="215">
        <v>-8.4327437268613692E-2</v>
      </c>
      <c r="AD18" s="215">
        <v>-0.14486963835155597</v>
      </c>
      <c r="AE18" s="215">
        <v>-0.35309973045822107</v>
      </c>
      <c r="AF18" s="215">
        <v>-0.26309318908286206</v>
      </c>
      <c r="AG18" s="215">
        <v>-6.8055555555555536E-2</v>
      </c>
      <c r="AH18" s="215">
        <v>-3.670337003670332E-2</v>
      </c>
      <c r="AI18" s="215">
        <v>0.2645305514157974</v>
      </c>
      <c r="AJ18" s="215">
        <v>0.33425701420159326</v>
      </c>
      <c r="AK18" s="215">
        <v>0.10724808485562765</v>
      </c>
      <c r="AL18" s="215">
        <v>-2.1011673151751009E-2</v>
      </c>
      <c r="AM18" s="215">
        <v>-4.779806659505903E-2</v>
      </c>
      <c r="AN18" s="30"/>
    </row>
    <row r="19" spans="1:41" ht="15" customHeight="1" outlineLevel="1" x14ac:dyDescent="0.2">
      <c r="A19" s="167" t="s">
        <v>113</v>
      </c>
      <c r="B19" s="27">
        <v>605</v>
      </c>
      <c r="C19" s="27">
        <v>316</v>
      </c>
      <c r="D19" s="28">
        <v>584</v>
      </c>
      <c r="E19" s="28">
        <v>330</v>
      </c>
      <c r="F19" s="28">
        <v>698</v>
      </c>
      <c r="G19" s="28">
        <v>333</v>
      </c>
      <c r="H19" s="28">
        <v>712</v>
      </c>
      <c r="I19" s="28">
        <v>394</v>
      </c>
      <c r="J19" s="27">
        <v>754</v>
      </c>
      <c r="K19" s="27">
        <v>409</v>
      </c>
      <c r="L19" s="27">
        <v>698</v>
      </c>
      <c r="M19" s="27">
        <v>242</v>
      </c>
      <c r="N19" s="27">
        <v>476</v>
      </c>
      <c r="O19" s="27">
        <v>214</v>
      </c>
      <c r="P19" s="27">
        <v>456</v>
      </c>
      <c r="Q19" s="308">
        <v>276</v>
      </c>
      <c r="R19" s="308">
        <v>630</v>
      </c>
      <c r="S19" s="308">
        <v>325</v>
      </c>
      <c r="T19" s="308">
        <v>653</v>
      </c>
      <c r="U19" s="308">
        <v>340</v>
      </c>
      <c r="V19" s="215"/>
      <c r="W19" s="215">
        <v>4.4303797468354444E-2</v>
      </c>
      <c r="X19" s="215">
        <v>0.1952054794520548</v>
      </c>
      <c r="Y19" s="215">
        <v>9.0909090909090384E-3</v>
      </c>
      <c r="Z19" s="215">
        <v>2.005730659025784E-2</v>
      </c>
      <c r="AA19" s="215">
        <v>0.18318318318318316</v>
      </c>
      <c r="AB19" s="215">
        <v>5.8988764044943798E-2</v>
      </c>
      <c r="AC19" s="215">
        <v>3.8071065989847774E-2</v>
      </c>
      <c r="AD19" s="215">
        <v>-7.4270557029177731E-2</v>
      </c>
      <c r="AE19" s="215">
        <v>-0.40831295843520787</v>
      </c>
      <c r="AF19" s="215">
        <v>-0.31805157593123212</v>
      </c>
      <c r="AG19" s="215">
        <v>-0.11570247933884292</v>
      </c>
      <c r="AH19" s="215">
        <v>-4.2016806722689037E-2</v>
      </c>
      <c r="AI19" s="215">
        <v>0.28971962616822422</v>
      </c>
      <c r="AJ19" s="215">
        <v>0.38157894736842102</v>
      </c>
      <c r="AK19" s="215">
        <v>0.17753623188405787</v>
      </c>
      <c r="AL19" s="215">
        <v>3.65079365079366E-2</v>
      </c>
      <c r="AM19" s="215">
        <v>4.6153846153846212E-2</v>
      </c>
      <c r="AN19" s="30"/>
    </row>
    <row r="20" spans="1:41" ht="15" customHeight="1" outlineLevel="1" thickBot="1" x14ac:dyDescent="0.25">
      <c r="A20" s="167" t="s">
        <v>114</v>
      </c>
      <c r="B20" s="138">
        <v>-153</v>
      </c>
      <c r="C20" s="138">
        <v>-203</v>
      </c>
      <c r="D20" s="139">
        <v>-353</v>
      </c>
      <c r="E20" s="139">
        <v>-211</v>
      </c>
      <c r="F20" s="139">
        <v>-352</v>
      </c>
      <c r="G20" s="139">
        <v>-224</v>
      </c>
      <c r="H20" s="139">
        <v>-267</v>
      </c>
      <c r="I20" s="139">
        <v>-122</v>
      </c>
      <c r="J20" s="138">
        <v>35</v>
      </c>
      <c r="K20" s="138">
        <v>-116</v>
      </c>
      <c r="L20" s="138">
        <v>40</v>
      </c>
      <c r="M20" s="138">
        <v>83</v>
      </c>
      <c r="N20" s="138">
        <v>-308</v>
      </c>
      <c r="O20" s="138">
        <v>75</v>
      </c>
      <c r="P20" s="138">
        <v>290</v>
      </c>
      <c r="Q20" s="139">
        <v>-67</v>
      </c>
      <c r="R20" s="139">
        <v>-517</v>
      </c>
      <c r="S20" s="139">
        <v>8</v>
      </c>
      <c r="T20" s="139">
        <v>109</v>
      </c>
      <c r="U20" s="139">
        <v>68</v>
      </c>
      <c r="V20" s="215"/>
      <c r="W20" s="215"/>
      <c r="X20" s="215">
        <v>-2.8328611898017497E-3</v>
      </c>
      <c r="Y20" s="215"/>
      <c r="Z20" s="215">
        <v>-0.24147727272727271</v>
      </c>
      <c r="AA20" s="215">
        <v>-0.4553571428571429</v>
      </c>
      <c r="AB20" s="215">
        <v>-1.1310861423220975</v>
      </c>
      <c r="AC20" s="215">
        <v>-4.9180327868852514E-2</v>
      </c>
      <c r="AD20" s="215">
        <v>0.14285714285714279</v>
      </c>
      <c r="AE20" s="215">
        <v>-1.7155172413793105</v>
      </c>
      <c r="AF20" s="215">
        <v>-8.6999999999999993</v>
      </c>
      <c r="AG20" s="215">
        <v>-9.6385542168674676E-2</v>
      </c>
      <c r="AH20" s="215">
        <v>-1.9415584415584415</v>
      </c>
      <c r="AI20" s="215">
        <v>-1.8933333333333333</v>
      </c>
      <c r="AJ20" s="215">
        <v>-2.772413793103448</v>
      </c>
      <c r="AK20" s="215">
        <v>-1.1194029850746268</v>
      </c>
      <c r="AL20" s="215">
        <v>-1.2108317214700193</v>
      </c>
      <c r="AM20" s="215">
        <v>7.5</v>
      </c>
      <c r="AN20" s="30"/>
    </row>
    <row r="21" spans="1:41" ht="15" customHeight="1" thickTop="1" x14ac:dyDescent="0.2">
      <c r="A21" s="75" t="s">
        <v>115</v>
      </c>
      <c r="B21" s="126">
        <v>3666</v>
      </c>
      <c r="C21" s="126">
        <v>2224</v>
      </c>
      <c r="D21" s="126">
        <v>4223</v>
      </c>
      <c r="E21" s="126">
        <v>2715</v>
      </c>
      <c r="F21" s="126">
        <v>4967</v>
      </c>
      <c r="G21" s="126">
        <v>2599</v>
      </c>
      <c r="H21" s="126">
        <v>5420</v>
      </c>
      <c r="I21" s="126">
        <v>2703</v>
      </c>
      <c r="J21" s="125">
        <v>5545</v>
      </c>
      <c r="K21" s="125">
        <v>2519</v>
      </c>
      <c r="L21" s="125">
        <v>4805</v>
      </c>
      <c r="M21" s="125">
        <v>1765</v>
      </c>
      <c r="N21" s="125">
        <v>3165</v>
      </c>
      <c r="O21" s="125">
        <v>1631</v>
      </c>
      <c r="P21" s="125">
        <v>3633</v>
      </c>
      <c r="Q21" s="126">
        <v>1906</v>
      </c>
      <c r="R21" s="126">
        <v>3968</v>
      </c>
      <c r="S21" s="126">
        <v>2195</v>
      </c>
      <c r="T21" s="126">
        <v>4536</v>
      </c>
      <c r="U21" s="126">
        <v>2181</v>
      </c>
      <c r="V21" s="215">
        <v>0.15193671576650303</v>
      </c>
      <c r="W21" s="215">
        <v>0.22077338129496393</v>
      </c>
      <c r="X21" s="215">
        <v>0.17617807246033634</v>
      </c>
      <c r="Y21" s="215">
        <v>-4.2725598526703545E-2</v>
      </c>
      <c r="Z21" s="215">
        <v>9.1201932756190818E-2</v>
      </c>
      <c r="AA21" s="215">
        <v>4.001539053482106E-2</v>
      </c>
      <c r="AB21" s="215">
        <v>2.3062730627306349E-2</v>
      </c>
      <c r="AC21" s="215">
        <v>-6.8072512023677367E-2</v>
      </c>
      <c r="AD21" s="215">
        <v>-0.13345356176735801</v>
      </c>
      <c r="AE21" s="215">
        <v>-0.29932512901945219</v>
      </c>
      <c r="AF21" s="215">
        <v>-0.34131113423517168</v>
      </c>
      <c r="AG21" s="215">
        <v>-7.5920679886685605E-2</v>
      </c>
      <c r="AH21" s="215">
        <v>0.14786729857819902</v>
      </c>
      <c r="AI21" s="215">
        <v>0.16860821581851626</v>
      </c>
      <c r="AJ21" s="215">
        <v>9.2210294522433234E-2</v>
      </c>
      <c r="AK21" s="215">
        <v>0.16054564533053517</v>
      </c>
      <c r="AL21" s="215">
        <v>0.14314516129032251</v>
      </c>
      <c r="AM21" s="215">
        <v>-6.3781321184510631E-3</v>
      </c>
      <c r="AN21" s="30"/>
    </row>
    <row r="22" spans="1:41" ht="15" customHeight="1" x14ac:dyDescent="0.2">
      <c r="A22" s="75" t="s">
        <v>28</v>
      </c>
      <c r="B22" s="216"/>
      <c r="C22" s="216"/>
      <c r="D22" s="28"/>
      <c r="E22" s="28"/>
      <c r="F22" s="28"/>
      <c r="G22" s="28"/>
      <c r="H22" s="28"/>
      <c r="I22" s="28"/>
      <c r="J22" s="27"/>
      <c r="K22" s="27"/>
      <c r="L22" s="27"/>
      <c r="M22" s="27"/>
      <c r="N22" s="27"/>
      <c r="O22" s="27"/>
      <c r="P22" s="217"/>
      <c r="Q22" s="217"/>
      <c r="R22" s="217"/>
      <c r="S22" s="217"/>
      <c r="T22" s="217"/>
      <c r="U22" s="217"/>
      <c r="V22" s="215"/>
      <c r="W22" s="215"/>
      <c r="X22" s="215"/>
      <c r="Y22" s="215"/>
      <c r="Z22" s="215"/>
      <c r="AA22" s="215"/>
      <c r="AB22" s="215"/>
      <c r="AC22" s="215"/>
      <c r="AD22" s="215"/>
      <c r="AE22" s="215"/>
      <c r="AF22" s="215"/>
      <c r="AG22" s="215"/>
      <c r="AH22" s="215"/>
      <c r="AI22" s="215"/>
      <c r="AJ22" s="215"/>
      <c r="AK22" s="215"/>
      <c r="AL22" s="215"/>
      <c r="AM22" s="215"/>
      <c r="AN22" s="30"/>
    </row>
    <row r="23" spans="1:41" ht="15" customHeight="1" x14ac:dyDescent="0.2">
      <c r="A23" s="171" t="s">
        <v>278</v>
      </c>
      <c r="B23" s="122">
        <v>511</v>
      </c>
      <c r="C23" s="122">
        <v>297</v>
      </c>
      <c r="D23" s="122">
        <v>660</v>
      </c>
      <c r="E23" s="122">
        <v>402</v>
      </c>
      <c r="F23" s="122">
        <v>826</v>
      </c>
      <c r="G23" s="122">
        <v>455</v>
      </c>
      <c r="H23" s="122">
        <v>947</v>
      </c>
      <c r="I23" s="122">
        <v>510</v>
      </c>
      <c r="J23" s="121">
        <v>961</v>
      </c>
      <c r="K23" s="121">
        <v>465</v>
      </c>
      <c r="L23" s="121">
        <v>869</v>
      </c>
      <c r="M23" s="121">
        <v>316</v>
      </c>
      <c r="N23" s="121">
        <v>616</v>
      </c>
      <c r="O23" s="121">
        <v>253</v>
      </c>
      <c r="P23" s="122">
        <v>508</v>
      </c>
      <c r="Q23" s="122">
        <v>309</v>
      </c>
      <c r="R23" s="122">
        <v>632</v>
      </c>
      <c r="S23" s="427">
        <v>334</v>
      </c>
      <c r="T23" s="122">
        <v>622</v>
      </c>
      <c r="U23" s="122">
        <v>355</v>
      </c>
      <c r="V23" s="215">
        <v>0.29158512720156549</v>
      </c>
      <c r="W23" s="215">
        <v>0.35353535353535359</v>
      </c>
      <c r="X23" s="215">
        <v>0.25151515151515147</v>
      </c>
      <c r="Y23" s="215">
        <v>0.1318407960199004</v>
      </c>
      <c r="Z23" s="215">
        <v>0.14648910411622285</v>
      </c>
      <c r="AA23" s="215">
        <v>0.12087912087912089</v>
      </c>
      <c r="AB23" s="215">
        <v>1.4783526927138357E-2</v>
      </c>
      <c r="AC23" s="215">
        <v>-8.8235294117647078E-2</v>
      </c>
      <c r="AD23" s="215">
        <v>-9.5733610822060333E-2</v>
      </c>
      <c r="AE23" s="215">
        <v>-0.32043010752688172</v>
      </c>
      <c r="AF23" s="215">
        <v>-0.31875719217491372</v>
      </c>
      <c r="AG23" s="215">
        <v>-0.19936708860759489</v>
      </c>
      <c r="AH23" s="215">
        <v>-0.14189189189189189</v>
      </c>
      <c r="AI23" s="215">
        <v>0.22134387351778662</v>
      </c>
      <c r="AJ23" s="215">
        <v>0.24409448818897639</v>
      </c>
      <c r="AK23" s="215">
        <v>8.0906148867313954E-2</v>
      </c>
      <c r="AL23" s="215">
        <v>-1.5822784810126556E-2</v>
      </c>
      <c r="AM23" s="215">
        <v>6.2874251497005984E-2</v>
      </c>
      <c r="AN23" s="30"/>
      <c r="AO23" s="218"/>
    </row>
    <row r="24" spans="1:41" ht="15" customHeight="1" x14ac:dyDescent="0.2">
      <c r="A24" s="75" t="s">
        <v>30</v>
      </c>
      <c r="B24" s="216"/>
      <c r="C24" s="216"/>
      <c r="D24" s="28"/>
      <c r="E24" s="28"/>
      <c r="F24" s="28"/>
      <c r="G24" s="28"/>
      <c r="H24" s="28"/>
      <c r="I24" s="28"/>
      <c r="J24" s="27"/>
      <c r="K24" s="27"/>
      <c r="L24" s="27"/>
      <c r="M24" s="27"/>
      <c r="N24" s="27"/>
      <c r="O24" s="27"/>
      <c r="P24" s="308"/>
      <c r="Q24" s="308"/>
      <c r="R24" s="308"/>
      <c r="S24" s="308"/>
      <c r="T24" s="308"/>
      <c r="U24" s="308"/>
      <c r="V24" s="215"/>
      <c r="W24" s="215"/>
      <c r="X24" s="215"/>
      <c r="Y24" s="215"/>
      <c r="Z24" s="215"/>
      <c r="AA24" s="215"/>
      <c r="AB24" s="215"/>
      <c r="AC24" s="215"/>
      <c r="AD24" s="215"/>
      <c r="AE24" s="215"/>
      <c r="AF24" s="215"/>
      <c r="AG24" s="215"/>
      <c r="AH24" s="215"/>
      <c r="AI24" s="215"/>
      <c r="AJ24" s="215"/>
      <c r="AK24" s="215"/>
      <c r="AL24" s="215"/>
      <c r="AM24" s="215"/>
      <c r="AN24" s="30"/>
    </row>
    <row r="25" spans="1:41" ht="15" customHeight="1" outlineLevel="1" x14ac:dyDescent="0.2">
      <c r="A25" s="167" t="s">
        <v>117</v>
      </c>
      <c r="B25" s="27">
        <v>51</v>
      </c>
      <c r="C25" s="27">
        <v>99</v>
      </c>
      <c r="D25" s="28">
        <v>283</v>
      </c>
      <c r="E25" s="28">
        <v>357</v>
      </c>
      <c r="F25" s="28">
        <v>779</v>
      </c>
      <c r="G25" s="28">
        <v>280</v>
      </c>
      <c r="H25" s="28">
        <v>515</v>
      </c>
      <c r="I25" s="28">
        <v>164</v>
      </c>
      <c r="J25" s="27">
        <v>374</v>
      </c>
      <c r="K25" s="27">
        <v>146</v>
      </c>
      <c r="L25" s="27">
        <v>225</v>
      </c>
      <c r="M25" s="27">
        <v>16</v>
      </c>
      <c r="N25" s="27">
        <v>78</v>
      </c>
      <c r="O25" s="27">
        <v>50</v>
      </c>
      <c r="P25" s="308">
        <v>61</v>
      </c>
      <c r="Q25" s="308">
        <v>0</v>
      </c>
      <c r="R25" s="308">
        <v>0</v>
      </c>
      <c r="S25" s="308">
        <v>0</v>
      </c>
      <c r="T25" s="308">
        <v>0</v>
      </c>
      <c r="U25" s="308">
        <v>0</v>
      </c>
      <c r="V25" s="215">
        <v>4.5490196078431371</v>
      </c>
      <c r="W25" s="215">
        <v>2.606060606060606</v>
      </c>
      <c r="X25" s="215">
        <v>1.7526501766784452</v>
      </c>
      <c r="Y25" s="215">
        <v>-0.21568627450980393</v>
      </c>
      <c r="Z25" s="215">
        <v>-0.3388960205391528</v>
      </c>
      <c r="AA25" s="215">
        <v>-0.41428571428571426</v>
      </c>
      <c r="AB25" s="215">
        <v>-0.27378640776699026</v>
      </c>
      <c r="AC25" s="215">
        <v>-0.1097560975609756</v>
      </c>
      <c r="AD25" s="215">
        <v>-0.39839572192513373</v>
      </c>
      <c r="AE25" s="215">
        <v>-0.8904109589041096</v>
      </c>
      <c r="AF25" s="215">
        <v>-0.65333333333333332</v>
      </c>
      <c r="AG25" s="215">
        <v>2.125</v>
      </c>
      <c r="AH25" s="215">
        <v>-0.21794871794871795</v>
      </c>
      <c r="AI25" s="215">
        <v>-1</v>
      </c>
      <c r="AJ25" s="215">
        <v>-0.98360655737704916</v>
      </c>
      <c r="AK25" s="215"/>
      <c r="AL25" s="215"/>
      <c r="AM25" s="215"/>
      <c r="AN25" s="30"/>
    </row>
    <row r="26" spans="1:41" ht="15" customHeight="1" outlineLevel="1" x14ac:dyDescent="0.2">
      <c r="A26" s="167" t="s">
        <v>109</v>
      </c>
      <c r="B26" s="27">
        <v>22</v>
      </c>
      <c r="C26" s="27">
        <v>15</v>
      </c>
      <c r="D26" s="28">
        <v>32</v>
      </c>
      <c r="E26" s="28">
        <v>13</v>
      </c>
      <c r="F26" s="28">
        <v>25</v>
      </c>
      <c r="G26" s="28">
        <v>18</v>
      </c>
      <c r="H26" s="28">
        <v>33</v>
      </c>
      <c r="I26" s="28">
        <v>13</v>
      </c>
      <c r="J26" s="27">
        <v>26</v>
      </c>
      <c r="K26" s="27">
        <v>12</v>
      </c>
      <c r="L26" s="27">
        <v>15</v>
      </c>
      <c r="M26" s="27">
        <v>2</v>
      </c>
      <c r="N26" s="27">
        <v>8</v>
      </c>
      <c r="O26" s="27">
        <v>12</v>
      </c>
      <c r="P26" s="308">
        <v>23</v>
      </c>
      <c r="Q26" s="308">
        <v>15</v>
      </c>
      <c r="R26" s="308">
        <v>38</v>
      </c>
      <c r="S26" s="308">
        <v>18</v>
      </c>
      <c r="T26" s="308">
        <v>39</v>
      </c>
      <c r="U26" s="308">
        <v>22</v>
      </c>
      <c r="V26" s="215">
        <v>0.45454545454545459</v>
      </c>
      <c r="W26" s="215">
        <v>-0.1333333333333333</v>
      </c>
      <c r="X26" s="215">
        <v>-0.21875</v>
      </c>
      <c r="Y26" s="215">
        <v>0.38461538461538458</v>
      </c>
      <c r="Z26" s="215">
        <v>0.32000000000000006</v>
      </c>
      <c r="AA26" s="215">
        <v>-0.27777777777777779</v>
      </c>
      <c r="AB26" s="215">
        <v>-0.21212121212121215</v>
      </c>
      <c r="AC26" s="215">
        <v>-7.6923076923076872E-2</v>
      </c>
      <c r="AD26" s="215">
        <v>-0.42307692307692313</v>
      </c>
      <c r="AE26" s="215">
        <v>-0.83333333333333337</v>
      </c>
      <c r="AF26" s="215">
        <v>-0.46666666666666667</v>
      </c>
      <c r="AG26" s="215">
        <v>5</v>
      </c>
      <c r="AH26" s="215">
        <v>1.875</v>
      </c>
      <c r="AI26" s="215">
        <v>0.25</v>
      </c>
      <c r="AJ26" s="215">
        <v>0.65217391304347827</v>
      </c>
      <c r="AK26" s="215">
        <v>0.19999999999999996</v>
      </c>
      <c r="AL26" s="215">
        <v>2.6315789473684292E-2</v>
      </c>
      <c r="AM26" s="215">
        <v>0.22222222222222232</v>
      </c>
      <c r="AN26" s="30"/>
    </row>
    <row r="27" spans="1:41" ht="15" customHeight="1" outlineLevel="1" x14ac:dyDescent="0.2">
      <c r="A27" s="167" t="s">
        <v>364</v>
      </c>
      <c r="B27" s="27">
        <v>14</v>
      </c>
      <c r="C27" s="27">
        <v>6</v>
      </c>
      <c r="D27" s="28">
        <v>14</v>
      </c>
      <c r="E27" s="28">
        <v>9</v>
      </c>
      <c r="F27" s="28">
        <v>17</v>
      </c>
      <c r="G27" s="28">
        <v>10</v>
      </c>
      <c r="H27" s="28">
        <v>17</v>
      </c>
      <c r="I27" s="28">
        <v>10</v>
      </c>
      <c r="J27" s="27">
        <v>20</v>
      </c>
      <c r="K27" s="27">
        <v>9</v>
      </c>
      <c r="L27" s="27">
        <v>23</v>
      </c>
      <c r="M27" s="27">
        <v>5</v>
      </c>
      <c r="N27" s="27">
        <v>19</v>
      </c>
      <c r="O27" s="27">
        <v>5</v>
      </c>
      <c r="P27" s="308">
        <v>13</v>
      </c>
      <c r="Q27" s="308">
        <v>5</v>
      </c>
      <c r="R27" s="308">
        <v>13</v>
      </c>
      <c r="S27" s="308">
        <v>6</v>
      </c>
      <c r="T27" s="308">
        <v>14</v>
      </c>
      <c r="U27" s="308">
        <v>7</v>
      </c>
      <c r="V27" s="215">
        <v>0</v>
      </c>
      <c r="W27" s="215">
        <v>0.5</v>
      </c>
      <c r="X27" s="215">
        <v>0.21428571428571419</v>
      </c>
      <c r="Y27" s="215">
        <v>0.11111111111111116</v>
      </c>
      <c r="Z27" s="215">
        <v>0</v>
      </c>
      <c r="AA27" s="215">
        <v>0</v>
      </c>
      <c r="AB27" s="215">
        <v>0.17647058823529416</v>
      </c>
      <c r="AC27" s="215">
        <v>-9.9999999999999978E-2</v>
      </c>
      <c r="AD27" s="215">
        <v>0.14999999999999991</v>
      </c>
      <c r="AE27" s="215">
        <v>-0.44444444444444442</v>
      </c>
      <c r="AF27" s="215">
        <v>-0.17391304347826086</v>
      </c>
      <c r="AG27" s="215">
        <v>0</v>
      </c>
      <c r="AH27" s="215">
        <v>-0.31578947368421051</v>
      </c>
      <c r="AI27" s="215">
        <v>0</v>
      </c>
      <c r="AJ27" s="215">
        <v>0</v>
      </c>
      <c r="AK27" s="215">
        <v>0.19999999999999996</v>
      </c>
      <c r="AL27" s="215">
        <v>7.6923076923076872E-2</v>
      </c>
      <c r="AM27" s="215">
        <v>0.16666666666666674</v>
      </c>
      <c r="AN27" s="30"/>
    </row>
    <row r="28" spans="1:41" ht="15" customHeight="1" outlineLevel="1" x14ac:dyDescent="0.2">
      <c r="A28" s="167" t="s">
        <v>479</v>
      </c>
      <c r="B28" s="27"/>
      <c r="C28" s="27"/>
      <c r="D28" s="28"/>
      <c r="E28" s="28"/>
      <c r="F28" s="28"/>
      <c r="G28" s="28"/>
      <c r="H28" s="28"/>
      <c r="I28" s="28"/>
      <c r="J28" s="27">
        <v>19</v>
      </c>
      <c r="K28" s="28">
        <v>33</v>
      </c>
      <c r="L28" s="27">
        <v>66</v>
      </c>
      <c r="M28" s="27">
        <v>12</v>
      </c>
      <c r="N28" s="27">
        <v>15</v>
      </c>
      <c r="O28" s="27">
        <v>2</v>
      </c>
      <c r="P28" s="308">
        <v>7</v>
      </c>
      <c r="Q28" s="308">
        <v>5</v>
      </c>
      <c r="R28" s="308">
        <v>14</v>
      </c>
      <c r="S28" s="308">
        <v>9</v>
      </c>
      <c r="T28" s="308">
        <v>31</v>
      </c>
      <c r="U28" s="308">
        <v>22</v>
      </c>
      <c r="V28" s="215"/>
      <c r="W28" s="215"/>
      <c r="X28" s="215"/>
      <c r="Y28" s="215"/>
      <c r="Z28" s="215"/>
      <c r="AA28" s="215"/>
      <c r="AB28" s="215"/>
      <c r="AC28" s="215"/>
      <c r="AD28" s="215">
        <v>2.4736842105263159</v>
      </c>
      <c r="AE28" s="215">
        <v>-0.63636363636363635</v>
      </c>
      <c r="AF28" s="215">
        <v>-0.77272727272727271</v>
      </c>
      <c r="AG28" s="215">
        <v>-0.83333333333333337</v>
      </c>
      <c r="AH28" s="215">
        <v>-0.53333333333333333</v>
      </c>
      <c r="AI28" s="215">
        <v>1.5</v>
      </c>
      <c r="AJ28" s="215">
        <v>1</v>
      </c>
      <c r="AK28" s="215">
        <v>0.8</v>
      </c>
      <c r="AL28" s="215">
        <v>1.2142857142857144</v>
      </c>
      <c r="AM28" s="215">
        <v>1.4444444444444446</v>
      </c>
      <c r="AN28" s="30"/>
    </row>
    <row r="29" spans="1:41" ht="15" customHeight="1" outlineLevel="1" x14ac:dyDescent="0.2">
      <c r="A29" s="167" t="s">
        <v>27</v>
      </c>
      <c r="B29" s="27">
        <v>17</v>
      </c>
      <c r="C29" s="27">
        <v>5</v>
      </c>
      <c r="D29" s="28">
        <v>14</v>
      </c>
      <c r="E29" s="28">
        <v>6</v>
      </c>
      <c r="F29" s="28">
        <v>7</v>
      </c>
      <c r="G29" s="28">
        <v>5</v>
      </c>
      <c r="H29" s="28">
        <v>13</v>
      </c>
      <c r="I29" s="28">
        <v>2</v>
      </c>
      <c r="J29" s="27">
        <v>6</v>
      </c>
      <c r="K29" s="28">
        <v>2</v>
      </c>
      <c r="L29" s="27">
        <v>6</v>
      </c>
      <c r="M29" s="27">
        <v>7</v>
      </c>
      <c r="N29" s="27">
        <v>9</v>
      </c>
      <c r="O29" s="27">
        <v>3</v>
      </c>
      <c r="P29" s="308">
        <v>7</v>
      </c>
      <c r="Q29" s="308">
        <v>3</v>
      </c>
      <c r="R29" s="308">
        <v>10</v>
      </c>
      <c r="S29" s="308">
        <v>2</v>
      </c>
      <c r="T29" s="308">
        <v>8</v>
      </c>
      <c r="U29" s="308">
        <v>4</v>
      </c>
      <c r="V29" s="215">
        <v>-0.17647058823529416</v>
      </c>
      <c r="W29" s="215">
        <v>0.19999999999999996</v>
      </c>
      <c r="X29" s="215">
        <v>-0.5</v>
      </c>
      <c r="Y29" s="215">
        <v>-0.16666666666666663</v>
      </c>
      <c r="Z29" s="215">
        <v>0.85714285714285721</v>
      </c>
      <c r="AA29" s="215">
        <v>-0.6</v>
      </c>
      <c r="AB29" s="215">
        <v>-0.53846153846153844</v>
      </c>
      <c r="AC29" s="215">
        <v>0</v>
      </c>
      <c r="AD29" s="215">
        <v>0</v>
      </c>
      <c r="AE29" s="215">
        <v>2.5</v>
      </c>
      <c r="AF29" s="215">
        <v>0.5</v>
      </c>
      <c r="AG29" s="215">
        <v>-0.5714285714285714</v>
      </c>
      <c r="AH29" s="215">
        <v>-0.22222222222222221</v>
      </c>
      <c r="AI29" s="215">
        <v>0</v>
      </c>
      <c r="AJ29" s="215">
        <v>0.28571428571428581</v>
      </c>
      <c r="AK29" s="215">
        <v>-0.33333333333333337</v>
      </c>
      <c r="AL29" s="215">
        <v>-0.19999999999999996</v>
      </c>
      <c r="AM29" s="215">
        <v>1</v>
      </c>
      <c r="AN29" s="30"/>
    </row>
    <row r="30" spans="1:41" ht="15" customHeight="1" x14ac:dyDescent="0.2">
      <c r="A30" s="171" t="s">
        <v>279</v>
      </c>
      <c r="B30" s="121">
        <v>104</v>
      </c>
      <c r="C30" s="121">
        <v>125</v>
      </c>
      <c r="D30" s="121">
        <v>343</v>
      </c>
      <c r="E30" s="121">
        <v>385</v>
      </c>
      <c r="F30" s="122">
        <v>828</v>
      </c>
      <c r="G30" s="122">
        <v>313</v>
      </c>
      <c r="H30" s="122">
        <v>578</v>
      </c>
      <c r="I30" s="122">
        <v>189</v>
      </c>
      <c r="J30" s="121">
        <v>445</v>
      </c>
      <c r="K30" s="121">
        <v>202</v>
      </c>
      <c r="L30" s="121">
        <v>335</v>
      </c>
      <c r="M30" s="121">
        <v>42</v>
      </c>
      <c r="N30" s="121">
        <v>129</v>
      </c>
      <c r="O30" s="121">
        <v>72</v>
      </c>
      <c r="P30" s="122">
        <v>111</v>
      </c>
      <c r="Q30" s="122">
        <v>28</v>
      </c>
      <c r="R30" s="122">
        <v>75</v>
      </c>
      <c r="S30" s="427">
        <v>35</v>
      </c>
      <c r="T30" s="122">
        <v>92</v>
      </c>
      <c r="U30" s="122">
        <v>55</v>
      </c>
      <c r="V30" s="215">
        <v>2.2980769230769229</v>
      </c>
      <c r="W30" s="215">
        <v>2.08</v>
      </c>
      <c r="X30" s="215">
        <v>1.4139941690962101</v>
      </c>
      <c r="Y30" s="215">
        <v>-0.18701298701298696</v>
      </c>
      <c r="Z30" s="215">
        <v>-0.30193236714975846</v>
      </c>
      <c r="AA30" s="215">
        <v>-0.39616613418530355</v>
      </c>
      <c r="AB30" s="215">
        <v>-0.23010380622837368</v>
      </c>
      <c r="AC30" s="215">
        <v>6.8783068783068835E-2</v>
      </c>
      <c r="AD30" s="215">
        <v>-0.2471910112359551</v>
      </c>
      <c r="AE30" s="215">
        <v>-0.79207920792079212</v>
      </c>
      <c r="AF30" s="215">
        <v>-0.61492537313432838</v>
      </c>
      <c r="AG30" s="215">
        <v>0.71428571428571419</v>
      </c>
      <c r="AH30" s="215">
        <v>-0.13953488372093026</v>
      </c>
      <c r="AI30" s="215">
        <v>-0.61111111111111116</v>
      </c>
      <c r="AJ30" s="215">
        <v>-0.32432432432432434</v>
      </c>
      <c r="AK30" s="215">
        <v>0.25</v>
      </c>
      <c r="AL30" s="215">
        <v>0.22666666666666657</v>
      </c>
      <c r="AM30" s="215">
        <v>0.5714285714285714</v>
      </c>
      <c r="AN30" s="30"/>
    </row>
    <row r="31" spans="1:41" ht="15" customHeight="1" x14ac:dyDescent="0.2">
      <c r="A31" s="68" t="s">
        <v>31</v>
      </c>
      <c r="B31" s="125"/>
      <c r="C31" s="125"/>
      <c r="D31" s="28"/>
      <c r="E31" s="28"/>
      <c r="F31" s="28"/>
      <c r="G31" s="28"/>
      <c r="H31" s="28"/>
      <c r="I31" s="28"/>
      <c r="J31" s="27"/>
      <c r="K31" s="27"/>
      <c r="L31" s="27"/>
      <c r="M31" s="27"/>
      <c r="N31" s="27"/>
      <c r="O31" s="27"/>
      <c r="P31" s="308"/>
      <c r="Q31" s="308"/>
      <c r="R31" s="308"/>
      <c r="S31" s="308"/>
      <c r="T31" s="308"/>
      <c r="U31" s="308"/>
      <c r="V31" s="215"/>
      <c r="W31" s="215"/>
      <c r="X31" s="215"/>
      <c r="Y31" s="215"/>
      <c r="Z31" s="215"/>
      <c r="AA31" s="215"/>
      <c r="AB31" s="215"/>
      <c r="AC31" s="215"/>
      <c r="AD31" s="215"/>
      <c r="AE31" s="215"/>
      <c r="AF31" s="215"/>
      <c r="AG31" s="215"/>
      <c r="AH31" s="215"/>
      <c r="AI31" s="215"/>
      <c r="AJ31" s="215"/>
      <c r="AK31" s="215"/>
      <c r="AL31" s="215"/>
      <c r="AM31" s="215"/>
      <c r="AN31" s="30"/>
    </row>
    <row r="32" spans="1:41" s="25" customFormat="1" ht="15" customHeight="1" outlineLevel="1" x14ac:dyDescent="0.2">
      <c r="A32" s="118" t="s">
        <v>364</v>
      </c>
      <c r="B32" s="27">
        <v>330</v>
      </c>
      <c r="C32" s="27">
        <v>140</v>
      </c>
      <c r="D32" s="28">
        <v>419</v>
      </c>
      <c r="E32" s="28">
        <v>194</v>
      </c>
      <c r="F32" s="28">
        <v>467</v>
      </c>
      <c r="G32" s="28">
        <v>177</v>
      </c>
      <c r="H32" s="28">
        <v>627</v>
      </c>
      <c r="I32" s="28">
        <v>217</v>
      </c>
      <c r="J32" s="27">
        <v>572</v>
      </c>
      <c r="K32" s="27">
        <v>221</v>
      </c>
      <c r="L32" s="27">
        <v>465</v>
      </c>
      <c r="M32" s="27">
        <v>168</v>
      </c>
      <c r="N32" s="27">
        <v>352</v>
      </c>
      <c r="O32" s="27">
        <v>176</v>
      </c>
      <c r="P32" s="219">
        <v>376</v>
      </c>
      <c r="Q32" s="219">
        <v>235</v>
      </c>
      <c r="R32" s="219">
        <v>478</v>
      </c>
      <c r="S32" s="219">
        <v>306</v>
      </c>
      <c r="T32" s="219">
        <v>541</v>
      </c>
      <c r="U32" s="219">
        <v>301</v>
      </c>
      <c r="V32" s="215">
        <v>0.26969696969696977</v>
      </c>
      <c r="W32" s="215">
        <v>0.38571428571428568</v>
      </c>
      <c r="X32" s="215">
        <v>0.11455847255369922</v>
      </c>
      <c r="Y32" s="215">
        <v>-8.7628865979381465E-2</v>
      </c>
      <c r="Z32" s="215">
        <v>0.34261241970021405</v>
      </c>
      <c r="AA32" s="215">
        <v>0.22598870056497167</v>
      </c>
      <c r="AB32" s="215">
        <v>-8.7719298245614086E-2</v>
      </c>
      <c r="AC32" s="215">
        <v>1.8433179723502224E-2</v>
      </c>
      <c r="AD32" s="215">
        <v>-0.18706293706293708</v>
      </c>
      <c r="AE32" s="215">
        <v>-0.23981900452488691</v>
      </c>
      <c r="AF32" s="215">
        <v>-0.24301075268817207</v>
      </c>
      <c r="AG32" s="215">
        <v>4.7619047619047672E-2</v>
      </c>
      <c r="AH32" s="215">
        <v>6.8181818181818121E-2</v>
      </c>
      <c r="AI32" s="215">
        <v>0.33522727272727271</v>
      </c>
      <c r="AJ32" s="215">
        <v>0.27127659574468077</v>
      </c>
      <c r="AK32" s="215">
        <v>0.23829787234042543</v>
      </c>
      <c r="AL32" s="215">
        <v>0.13179916317991625</v>
      </c>
      <c r="AM32" s="215">
        <v>-1.6339869281045805E-2</v>
      </c>
      <c r="AN32" s="146"/>
    </row>
    <row r="33" spans="1:40" s="25" customFormat="1" ht="15" customHeight="1" outlineLevel="1" x14ac:dyDescent="0.2">
      <c r="A33" s="118" t="s">
        <v>347</v>
      </c>
      <c r="B33" s="27">
        <v>77</v>
      </c>
      <c r="C33" s="27">
        <v>60</v>
      </c>
      <c r="D33" s="28">
        <v>99</v>
      </c>
      <c r="E33" s="28">
        <v>67</v>
      </c>
      <c r="F33" s="28">
        <v>135</v>
      </c>
      <c r="G33" s="28">
        <v>59</v>
      </c>
      <c r="H33" s="28">
        <v>146</v>
      </c>
      <c r="I33" s="28">
        <v>48</v>
      </c>
      <c r="J33" s="27">
        <v>121</v>
      </c>
      <c r="K33" s="27">
        <v>50</v>
      </c>
      <c r="L33" s="27">
        <v>111</v>
      </c>
      <c r="M33" s="27">
        <v>25</v>
      </c>
      <c r="N33" s="27">
        <v>55</v>
      </c>
      <c r="O33" s="27">
        <v>20</v>
      </c>
      <c r="P33" s="219">
        <v>55</v>
      </c>
      <c r="Q33" s="219">
        <v>22</v>
      </c>
      <c r="R33" s="219">
        <v>97</v>
      </c>
      <c r="S33" s="219">
        <v>45</v>
      </c>
      <c r="T33" s="219">
        <v>93</v>
      </c>
      <c r="U33" s="219">
        <v>41</v>
      </c>
      <c r="V33" s="215">
        <v>0.28571428571428581</v>
      </c>
      <c r="W33" s="215">
        <v>0.1166666666666667</v>
      </c>
      <c r="X33" s="215">
        <v>0.36363636363636354</v>
      </c>
      <c r="Y33" s="215">
        <v>-0.11940298507462688</v>
      </c>
      <c r="Z33" s="215">
        <v>8.1481481481481488E-2</v>
      </c>
      <c r="AA33" s="215">
        <v>-0.18644067796610164</v>
      </c>
      <c r="AB33" s="215">
        <v>-0.17123287671232879</v>
      </c>
      <c r="AC33" s="215">
        <v>4.1666666666666741E-2</v>
      </c>
      <c r="AD33" s="215">
        <v>-8.2644628099173501E-2</v>
      </c>
      <c r="AE33" s="215">
        <v>-0.5</v>
      </c>
      <c r="AF33" s="215">
        <v>-0.50450450450450446</v>
      </c>
      <c r="AG33" s="215">
        <v>-0.19999999999999996</v>
      </c>
      <c r="AH33" s="215">
        <v>0</v>
      </c>
      <c r="AI33" s="215">
        <v>0.10000000000000009</v>
      </c>
      <c r="AJ33" s="215">
        <v>0.30909090909090908</v>
      </c>
      <c r="AK33" s="215">
        <v>0.5</v>
      </c>
      <c r="AL33" s="215">
        <v>-4.123711340206182E-2</v>
      </c>
      <c r="AM33" s="215">
        <v>-8.8888888888888906E-2</v>
      </c>
      <c r="AN33" s="146"/>
    </row>
    <row r="34" spans="1:40" s="25" customFormat="1" ht="15" customHeight="1" outlineLevel="1" x14ac:dyDescent="0.2">
      <c r="A34" s="118" t="s">
        <v>365</v>
      </c>
      <c r="B34" s="27">
        <v>94</v>
      </c>
      <c r="C34" s="27">
        <v>49</v>
      </c>
      <c r="D34" s="28">
        <v>98</v>
      </c>
      <c r="E34" s="28">
        <v>45</v>
      </c>
      <c r="F34" s="28">
        <v>88</v>
      </c>
      <c r="G34" s="28">
        <v>56</v>
      </c>
      <c r="H34" s="28">
        <v>108</v>
      </c>
      <c r="I34" s="28">
        <v>57</v>
      </c>
      <c r="J34" s="27">
        <v>110</v>
      </c>
      <c r="K34" s="27">
        <v>49</v>
      </c>
      <c r="L34" s="27">
        <v>98</v>
      </c>
      <c r="M34" s="27">
        <v>27</v>
      </c>
      <c r="N34" s="27">
        <v>54</v>
      </c>
      <c r="O34" s="27">
        <v>26</v>
      </c>
      <c r="P34" s="219">
        <v>58</v>
      </c>
      <c r="Q34" s="219">
        <v>39</v>
      </c>
      <c r="R34" s="219">
        <v>79</v>
      </c>
      <c r="S34" s="219">
        <v>51</v>
      </c>
      <c r="T34" s="219">
        <v>103</v>
      </c>
      <c r="U34" s="219">
        <v>38</v>
      </c>
      <c r="V34" s="215">
        <v>4.2553191489361764E-2</v>
      </c>
      <c r="W34" s="215">
        <v>-8.1632653061224469E-2</v>
      </c>
      <c r="X34" s="215">
        <v>-0.10204081632653061</v>
      </c>
      <c r="Y34" s="215">
        <v>0.24444444444444446</v>
      </c>
      <c r="Z34" s="215">
        <v>0.22727272727272729</v>
      </c>
      <c r="AA34" s="215">
        <v>1.7857142857142794E-2</v>
      </c>
      <c r="AB34" s="215">
        <v>1.8518518518518601E-2</v>
      </c>
      <c r="AC34" s="215">
        <v>-0.14035087719298245</v>
      </c>
      <c r="AD34" s="215">
        <v>-0.10909090909090913</v>
      </c>
      <c r="AE34" s="215">
        <v>-0.44897959183673475</v>
      </c>
      <c r="AF34" s="215">
        <v>-0.44897959183673475</v>
      </c>
      <c r="AG34" s="215">
        <v>-3.703703703703709E-2</v>
      </c>
      <c r="AH34" s="215">
        <v>7.4074074074074181E-2</v>
      </c>
      <c r="AI34" s="215">
        <v>0.5</v>
      </c>
      <c r="AJ34" s="215">
        <v>0.36206896551724133</v>
      </c>
      <c r="AK34" s="215">
        <v>0.30769230769230771</v>
      </c>
      <c r="AL34" s="215">
        <v>0.30379746835443044</v>
      </c>
      <c r="AM34" s="215">
        <v>-0.25490196078431371</v>
      </c>
      <c r="AN34" s="146"/>
    </row>
    <row r="35" spans="1:40" s="25" customFormat="1" ht="15" customHeight="1" outlineLevel="1" x14ac:dyDescent="0.2">
      <c r="A35" s="118" t="s">
        <v>480</v>
      </c>
      <c r="B35" s="27"/>
      <c r="C35" s="27"/>
      <c r="D35" s="28"/>
      <c r="E35" s="28"/>
      <c r="F35" s="28"/>
      <c r="G35" s="28"/>
      <c r="H35" s="28"/>
      <c r="I35" s="28"/>
      <c r="J35" s="27"/>
      <c r="K35" s="27"/>
      <c r="L35" s="27"/>
      <c r="M35" s="27">
        <v>10</v>
      </c>
      <c r="N35" s="27">
        <v>19</v>
      </c>
      <c r="O35" s="27">
        <v>10</v>
      </c>
      <c r="P35" s="219">
        <v>19</v>
      </c>
      <c r="Q35" s="219">
        <v>13</v>
      </c>
      <c r="R35" s="219">
        <v>25</v>
      </c>
      <c r="S35" s="219">
        <v>11</v>
      </c>
      <c r="T35" s="219">
        <v>23</v>
      </c>
      <c r="U35" s="219">
        <v>1</v>
      </c>
      <c r="V35" s="215"/>
      <c r="W35" s="215"/>
      <c r="X35" s="215"/>
      <c r="Y35" s="215"/>
      <c r="Z35" s="215"/>
      <c r="AA35" s="215"/>
      <c r="AB35" s="215"/>
      <c r="AC35" s="215"/>
      <c r="AD35" s="215"/>
      <c r="AE35" s="215"/>
      <c r="AF35" s="215"/>
      <c r="AG35" s="215"/>
      <c r="AH35" s="215"/>
      <c r="AI35" s="215"/>
      <c r="AJ35" s="215"/>
      <c r="AK35" s="215">
        <v>-0.15384615384615385</v>
      </c>
      <c r="AL35" s="215">
        <v>-7.999999999999996E-2</v>
      </c>
      <c r="AM35" s="215">
        <v>-0.90909090909090906</v>
      </c>
      <c r="AN35" s="146"/>
    </row>
    <row r="36" spans="1:40" s="25" customFormat="1" ht="15" customHeight="1" outlineLevel="1" x14ac:dyDescent="0.2">
      <c r="A36" s="118" t="s">
        <v>58</v>
      </c>
      <c r="B36" s="27">
        <v>35</v>
      </c>
      <c r="C36" s="27">
        <v>11</v>
      </c>
      <c r="D36" s="28">
        <v>23</v>
      </c>
      <c r="E36" s="28">
        <v>12</v>
      </c>
      <c r="F36" s="28">
        <v>29</v>
      </c>
      <c r="G36" s="28">
        <v>17</v>
      </c>
      <c r="H36" s="28">
        <v>33</v>
      </c>
      <c r="I36" s="28">
        <v>22</v>
      </c>
      <c r="J36" s="27">
        <v>36</v>
      </c>
      <c r="K36" s="27">
        <v>15</v>
      </c>
      <c r="L36" s="27">
        <v>27</v>
      </c>
      <c r="M36" s="27">
        <v>9</v>
      </c>
      <c r="N36" s="27">
        <v>19</v>
      </c>
      <c r="O36" s="27">
        <v>10</v>
      </c>
      <c r="P36" s="219">
        <v>20</v>
      </c>
      <c r="Q36" s="219">
        <v>15</v>
      </c>
      <c r="R36" s="219">
        <v>32</v>
      </c>
      <c r="S36" s="219">
        <v>20</v>
      </c>
      <c r="T36" s="219">
        <v>38</v>
      </c>
      <c r="U36" s="219">
        <v>33</v>
      </c>
      <c r="V36" s="215">
        <v>-0.34285714285714286</v>
      </c>
      <c r="W36" s="215">
        <v>9.0909090909090828E-2</v>
      </c>
      <c r="X36" s="215">
        <v>0.26086956521739135</v>
      </c>
      <c r="Y36" s="215">
        <v>0.41666666666666674</v>
      </c>
      <c r="Z36" s="215">
        <v>0.13793103448275867</v>
      </c>
      <c r="AA36" s="215">
        <v>0.29411764705882359</v>
      </c>
      <c r="AB36" s="215">
        <v>9.0909090909090828E-2</v>
      </c>
      <c r="AC36" s="215">
        <v>-0.31818181818181823</v>
      </c>
      <c r="AD36" s="215">
        <v>-0.25</v>
      </c>
      <c r="AE36" s="215">
        <v>-0.4</v>
      </c>
      <c r="AF36" s="215">
        <v>-0.29629629629629628</v>
      </c>
      <c r="AG36" s="215">
        <v>0.11111111111111116</v>
      </c>
      <c r="AH36" s="215">
        <v>5.2631578947368363E-2</v>
      </c>
      <c r="AI36" s="215">
        <v>0.5</v>
      </c>
      <c r="AJ36" s="215">
        <v>0.60000000000000009</v>
      </c>
      <c r="AK36" s="215">
        <v>0.33333333333333326</v>
      </c>
      <c r="AL36" s="215">
        <v>0.1875</v>
      </c>
      <c r="AM36" s="215">
        <v>0.64999999999999991</v>
      </c>
      <c r="AN36" s="146"/>
    </row>
    <row r="37" spans="1:40" s="25" customFormat="1" ht="15" customHeight="1" outlineLevel="1" x14ac:dyDescent="0.2">
      <c r="A37" s="118" t="s">
        <v>109</v>
      </c>
      <c r="B37" s="27">
        <v>16</v>
      </c>
      <c r="C37" s="27">
        <v>7</v>
      </c>
      <c r="D37" s="28">
        <v>15</v>
      </c>
      <c r="E37" s="28">
        <v>8</v>
      </c>
      <c r="F37" s="28">
        <v>19</v>
      </c>
      <c r="G37" s="28">
        <v>8</v>
      </c>
      <c r="H37" s="28">
        <v>18</v>
      </c>
      <c r="I37" s="28">
        <v>8</v>
      </c>
      <c r="J37" s="27">
        <v>17</v>
      </c>
      <c r="K37" s="27">
        <v>9</v>
      </c>
      <c r="L37" s="27">
        <v>16</v>
      </c>
      <c r="M37" s="27">
        <v>3</v>
      </c>
      <c r="N37" s="27">
        <v>4</v>
      </c>
      <c r="O37" s="27">
        <v>3</v>
      </c>
      <c r="P37" s="219">
        <v>6</v>
      </c>
      <c r="Q37" s="219">
        <v>3</v>
      </c>
      <c r="R37" s="219">
        <v>8</v>
      </c>
      <c r="S37" s="219">
        <v>6</v>
      </c>
      <c r="T37" s="219">
        <v>9</v>
      </c>
      <c r="U37" s="219">
        <v>8</v>
      </c>
      <c r="V37" s="215">
        <v>-6.25E-2</v>
      </c>
      <c r="W37" s="215">
        <v>0.14285714285714279</v>
      </c>
      <c r="X37" s="215">
        <v>0.26666666666666661</v>
      </c>
      <c r="Y37" s="215">
        <v>0</v>
      </c>
      <c r="Z37" s="215">
        <v>-5.2631578947368474E-2</v>
      </c>
      <c r="AA37" s="215">
        <v>0</v>
      </c>
      <c r="AB37" s="215">
        <v>-5.555555555555558E-2</v>
      </c>
      <c r="AC37" s="215">
        <v>0.125</v>
      </c>
      <c r="AD37" s="215">
        <v>-5.8823529411764719E-2</v>
      </c>
      <c r="AE37" s="215">
        <v>-0.66666666666666674</v>
      </c>
      <c r="AF37" s="215">
        <v>-0.75</v>
      </c>
      <c r="AG37" s="215">
        <v>0</v>
      </c>
      <c r="AH37" s="215">
        <v>0.5</v>
      </c>
      <c r="AI37" s="215">
        <v>0</v>
      </c>
      <c r="AJ37" s="215">
        <v>0.33333333333333326</v>
      </c>
      <c r="AK37" s="215">
        <v>1</v>
      </c>
      <c r="AL37" s="215">
        <v>0.125</v>
      </c>
      <c r="AM37" s="215">
        <v>0.33333333333333326</v>
      </c>
      <c r="AN37" s="146"/>
    </row>
    <row r="38" spans="1:40" s="25" customFormat="1" ht="15" customHeight="1" outlineLevel="1" x14ac:dyDescent="0.2">
      <c r="A38" s="118" t="s">
        <v>27</v>
      </c>
      <c r="B38" s="27">
        <v>84</v>
      </c>
      <c r="C38" s="27">
        <v>35</v>
      </c>
      <c r="D38" s="28">
        <v>101</v>
      </c>
      <c r="E38" s="28">
        <v>42</v>
      </c>
      <c r="F38" s="28">
        <v>110</v>
      </c>
      <c r="G38" s="28">
        <v>46</v>
      </c>
      <c r="H38" s="28">
        <v>111</v>
      </c>
      <c r="I38" s="28">
        <v>50</v>
      </c>
      <c r="J38" s="27">
        <v>108</v>
      </c>
      <c r="K38" s="27">
        <v>49</v>
      </c>
      <c r="L38" s="27">
        <v>95</v>
      </c>
      <c r="M38" s="27">
        <v>20</v>
      </c>
      <c r="N38" s="27">
        <v>51</v>
      </c>
      <c r="O38" s="27">
        <v>19</v>
      </c>
      <c r="P38" s="219">
        <v>47</v>
      </c>
      <c r="Q38" s="219">
        <v>26</v>
      </c>
      <c r="R38" s="219">
        <v>40</v>
      </c>
      <c r="S38" s="219">
        <v>22</v>
      </c>
      <c r="T38" s="219">
        <v>52</v>
      </c>
      <c r="U38" s="219">
        <v>21</v>
      </c>
      <c r="V38" s="215">
        <v>0.20238095238095233</v>
      </c>
      <c r="W38" s="215">
        <v>0.19999999999999996</v>
      </c>
      <c r="X38" s="215">
        <v>8.9108910891089188E-2</v>
      </c>
      <c r="Y38" s="215">
        <v>9.5238095238095344E-2</v>
      </c>
      <c r="Z38" s="215">
        <v>9.0909090909090384E-3</v>
      </c>
      <c r="AA38" s="215">
        <v>8.6956521739130377E-2</v>
      </c>
      <c r="AB38" s="215">
        <v>-2.7027027027026973E-2</v>
      </c>
      <c r="AC38" s="215">
        <v>-2.0000000000000018E-2</v>
      </c>
      <c r="AD38" s="215">
        <v>-0.12037037037037035</v>
      </c>
      <c r="AE38" s="215">
        <v>-0.59183673469387754</v>
      </c>
      <c r="AF38" s="215">
        <v>-0.4631578947368421</v>
      </c>
      <c r="AG38" s="215">
        <v>-5.0000000000000044E-2</v>
      </c>
      <c r="AH38" s="215">
        <v>-7.8431372549019662E-2</v>
      </c>
      <c r="AI38" s="215">
        <v>0.36842105263157898</v>
      </c>
      <c r="AJ38" s="215">
        <v>0.38297872340425543</v>
      </c>
      <c r="AK38" s="215">
        <v>0.23076923076923084</v>
      </c>
      <c r="AL38" s="215">
        <v>0.30000000000000004</v>
      </c>
      <c r="AM38" s="215">
        <v>-4.5454545454545414E-2</v>
      </c>
      <c r="AN38" s="146"/>
    </row>
    <row r="39" spans="1:40" ht="15" customHeight="1" x14ac:dyDescent="0.2">
      <c r="A39" s="171" t="s">
        <v>280</v>
      </c>
      <c r="B39" s="121">
        <v>636</v>
      </c>
      <c r="C39" s="121">
        <v>302</v>
      </c>
      <c r="D39" s="121">
        <v>755</v>
      </c>
      <c r="E39" s="121">
        <v>368</v>
      </c>
      <c r="F39" s="122">
        <v>848</v>
      </c>
      <c r="G39" s="122">
        <v>363</v>
      </c>
      <c r="H39" s="122">
        <v>1043</v>
      </c>
      <c r="I39" s="122">
        <v>402</v>
      </c>
      <c r="J39" s="121">
        <v>964</v>
      </c>
      <c r="K39" s="121">
        <v>393</v>
      </c>
      <c r="L39" s="121">
        <v>812</v>
      </c>
      <c r="M39" s="121">
        <v>262</v>
      </c>
      <c r="N39" s="121">
        <v>554</v>
      </c>
      <c r="O39" s="121">
        <v>264</v>
      </c>
      <c r="P39" s="220">
        <v>581</v>
      </c>
      <c r="Q39" s="220">
        <v>353</v>
      </c>
      <c r="R39" s="220">
        <v>759</v>
      </c>
      <c r="S39" s="436">
        <v>461</v>
      </c>
      <c r="T39" s="220">
        <v>859</v>
      </c>
      <c r="U39" s="220">
        <v>443</v>
      </c>
      <c r="V39" s="215">
        <v>0.18710691823899372</v>
      </c>
      <c r="W39" s="215">
        <v>0.2185430463576159</v>
      </c>
      <c r="X39" s="215">
        <v>0.12317880794701996</v>
      </c>
      <c r="Y39" s="215">
        <v>-1.3586956521739135E-2</v>
      </c>
      <c r="Z39" s="215">
        <v>0.22995283018867929</v>
      </c>
      <c r="AA39" s="215">
        <v>0.10743801652892571</v>
      </c>
      <c r="AB39" s="215">
        <v>-7.5743048897411347E-2</v>
      </c>
      <c r="AC39" s="215">
        <v>-2.2388059701492491E-2</v>
      </c>
      <c r="AD39" s="215">
        <v>-0.15767634854771784</v>
      </c>
      <c r="AE39" s="215">
        <v>-0.33333333333333337</v>
      </c>
      <c r="AF39" s="215">
        <v>-0.31773399014778325</v>
      </c>
      <c r="AG39" s="215">
        <v>7.6335877862594437E-3</v>
      </c>
      <c r="AH39" s="215">
        <v>4.8736462093862842E-2</v>
      </c>
      <c r="AI39" s="215">
        <v>0.33712121212121215</v>
      </c>
      <c r="AJ39" s="215">
        <v>0.30636833046471601</v>
      </c>
      <c r="AK39" s="215">
        <v>0.25779036827195467</v>
      </c>
      <c r="AL39" s="215">
        <v>0.13175230566534912</v>
      </c>
      <c r="AM39" s="215">
        <v>-3.9045553145336198E-2</v>
      </c>
      <c r="AN39" s="30"/>
    </row>
    <row r="40" spans="1:40" ht="15" customHeight="1" x14ac:dyDescent="0.2">
      <c r="A40" s="68" t="s">
        <v>643</v>
      </c>
      <c r="B40" s="221"/>
      <c r="C40" s="221"/>
      <c r="D40" s="202"/>
      <c r="E40" s="202"/>
      <c r="F40" s="202"/>
      <c r="G40" s="202"/>
      <c r="H40" s="202"/>
      <c r="I40" s="202"/>
      <c r="J40" s="203"/>
      <c r="K40" s="203"/>
      <c r="L40" s="203"/>
      <c r="M40" s="203"/>
      <c r="N40" s="203"/>
      <c r="O40" s="203"/>
      <c r="P40" s="222"/>
      <c r="Q40" s="222"/>
      <c r="R40" s="222"/>
      <c r="S40" s="222"/>
      <c r="T40" s="222"/>
      <c r="U40" s="222"/>
      <c r="V40" s="215"/>
      <c r="W40" s="215"/>
      <c r="X40" s="215"/>
      <c r="Y40" s="215"/>
      <c r="Z40" s="215"/>
      <c r="AA40" s="215"/>
      <c r="AB40" s="215"/>
      <c r="AC40" s="215"/>
      <c r="AD40" s="215"/>
      <c r="AE40" s="215"/>
      <c r="AF40" s="215"/>
      <c r="AG40" s="215"/>
      <c r="AH40" s="215"/>
      <c r="AI40" s="215"/>
      <c r="AJ40" s="215"/>
      <c r="AK40" s="215"/>
      <c r="AL40" s="215"/>
      <c r="AM40" s="215"/>
      <c r="AN40" s="30"/>
    </row>
    <row r="41" spans="1:40" ht="15" customHeight="1" outlineLevel="1" x14ac:dyDescent="0.2">
      <c r="A41" s="118" t="s">
        <v>583</v>
      </c>
      <c r="B41" s="203">
        <v>128</v>
      </c>
      <c r="C41" s="203">
        <v>31</v>
      </c>
      <c r="D41" s="202">
        <v>87</v>
      </c>
      <c r="E41" s="202">
        <v>38</v>
      </c>
      <c r="F41" s="202">
        <v>96</v>
      </c>
      <c r="G41" s="202">
        <v>114</v>
      </c>
      <c r="H41" s="202">
        <v>236</v>
      </c>
      <c r="I41" s="202">
        <v>135</v>
      </c>
      <c r="J41" s="203">
        <v>311</v>
      </c>
      <c r="K41" s="203">
        <v>71</v>
      </c>
      <c r="L41" s="203">
        <v>135</v>
      </c>
      <c r="M41" s="203">
        <v>109</v>
      </c>
      <c r="N41" s="203">
        <v>281</v>
      </c>
      <c r="O41" s="203">
        <v>203</v>
      </c>
      <c r="P41" s="219">
        <v>403</v>
      </c>
      <c r="Q41" s="219">
        <v>195</v>
      </c>
      <c r="R41" s="219">
        <v>386</v>
      </c>
      <c r="S41" s="219">
        <v>191</v>
      </c>
      <c r="T41" s="219">
        <v>384</v>
      </c>
      <c r="U41" s="219">
        <v>162</v>
      </c>
      <c r="V41" s="215">
        <v>-0.3203125</v>
      </c>
      <c r="W41" s="215">
        <v>0.22580645161290325</v>
      </c>
      <c r="X41" s="215">
        <v>0.10344827586206895</v>
      </c>
      <c r="Y41" s="215">
        <v>2</v>
      </c>
      <c r="Z41" s="215">
        <v>1.4583333333333335</v>
      </c>
      <c r="AA41" s="215">
        <v>0.18421052631578938</v>
      </c>
      <c r="AB41" s="215">
        <v>0.31779661016949157</v>
      </c>
      <c r="AC41" s="215">
        <v>-0.47407407407407409</v>
      </c>
      <c r="AD41" s="215">
        <v>-0.56591639871382637</v>
      </c>
      <c r="AE41" s="215">
        <v>0.53521126760563376</v>
      </c>
      <c r="AF41" s="215">
        <v>1.0814814814814815</v>
      </c>
      <c r="AG41" s="215">
        <v>0.86238532110091737</v>
      </c>
      <c r="AH41" s="215">
        <v>0.43416370106761559</v>
      </c>
      <c r="AI41" s="215">
        <v>-3.9408866995073843E-2</v>
      </c>
      <c r="AJ41" s="215">
        <v>-4.2183622828784073E-2</v>
      </c>
      <c r="AK41" s="215">
        <v>-2.0512820512820551E-2</v>
      </c>
      <c r="AL41" s="215">
        <v>-5.1813471502590858E-3</v>
      </c>
      <c r="AM41" s="215">
        <v>-0.15183246073298429</v>
      </c>
      <c r="AN41" s="30"/>
    </row>
    <row r="42" spans="1:40" ht="15" customHeight="1" outlineLevel="1" x14ac:dyDescent="0.2">
      <c r="A42" s="118" t="s">
        <v>645</v>
      </c>
      <c r="B42" s="203"/>
      <c r="C42" s="203"/>
      <c r="D42" s="202"/>
      <c r="E42" s="202"/>
      <c r="F42" s="202"/>
      <c r="G42" s="202"/>
      <c r="H42" s="202"/>
      <c r="I42" s="202"/>
      <c r="J42" s="203"/>
      <c r="K42" s="203"/>
      <c r="L42" s="203"/>
      <c r="M42" s="203"/>
      <c r="N42" s="203"/>
      <c r="O42" s="203"/>
      <c r="P42" s="219"/>
      <c r="Q42" s="219"/>
      <c r="R42" s="219">
        <v>0</v>
      </c>
      <c r="S42" s="219"/>
      <c r="T42" s="219">
        <v>51</v>
      </c>
      <c r="U42" s="219">
        <v>-117</v>
      </c>
      <c r="V42" s="215"/>
      <c r="W42" s="215"/>
      <c r="X42" s="215"/>
      <c r="Y42" s="215"/>
      <c r="Z42" s="215"/>
      <c r="AA42" s="215"/>
      <c r="AB42" s="215"/>
      <c r="AC42" s="215"/>
      <c r="AD42" s="215"/>
      <c r="AE42" s="215"/>
      <c r="AF42" s="215"/>
      <c r="AG42" s="215"/>
      <c r="AH42" s="215"/>
      <c r="AI42" s="215"/>
      <c r="AJ42" s="215"/>
      <c r="AK42" s="215"/>
      <c r="AL42" s="215"/>
      <c r="AM42" s="215"/>
      <c r="AN42" s="30"/>
    </row>
    <row r="43" spans="1:40" ht="15" customHeight="1" outlineLevel="1" x14ac:dyDescent="0.2">
      <c r="A43" s="118" t="s">
        <v>463</v>
      </c>
      <c r="B43" s="203"/>
      <c r="C43" s="203"/>
      <c r="D43" s="202"/>
      <c r="E43" s="202"/>
      <c r="F43" s="202"/>
      <c r="G43" s="202"/>
      <c r="H43" s="202"/>
      <c r="I43" s="202"/>
      <c r="J43" s="203"/>
      <c r="K43" s="203"/>
      <c r="L43" s="203"/>
      <c r="M43" s="203"/>
      <c r="N43" s="203"/>
      <c r="O43" s="203"/>
      <c r="P43" s="219"/>
      <c r="Q43" s="219"/>
      <c r="R43" s="219">
        <v>0</v>
      </c>
      <c r="S43" s="219"/>
      <c r="T43" s="219">
        <v>46</v>
      </c>
      <c r="U43" s="219"/>
      <c r="V43" s="215"/>
      <c r="W43" s="215"/>
      <c r="X43" s="215"/>
      <c r="Y43" s="215"/>
      <c r="Z43" s="215"/>
      <c r="AA43" s="215"/>
      <c r="AB43" s="215"/>
      <c r="AC43" s="215"/>
      <c r="AD43" s="215"/>
      <c r="AE43" s="215"/>
      <c r="AF43" s="215"/>
      <c r="AG43" s="215"/>
      <c r="AH43" s="215"/>
      <c r="AI43" s="215"/>
      <c r="AJ43" s="215"/>
      <c r="AK43" s="215"/>
      <c r="AL43" s="215"/>
      <c r="AM43" s="215"/>
      <c r="AN43" s="30"/>
    </row>
    <row r="44" spans="1:40" ht="15" customHeight="1" outlineLevel="1" x14ac:dyDescent="0.2">
      <c r="A44" s="118" t="s">
        <v>481</v>
      </c>
      <c r="B44" s="203">
        <v>38</v>
      </c>
      <c r="C44" s="203">
        <v>18</v>
      </c>
      <c r="D44" s="202">
        <v>36</v>
      </c>
      <c r="E44" s="202">
        <v>22</v>
      </c>
      <c r="F44" s="202">
        <v>46</v>
      </c>
      <c r="G44" s="202">
        <v>21</v>
      </c>
      <c r="H44" s="202">
        <v>52</v>
      </c>
      <c r="I44" s="202">
        <v>32</v>
      </c>
      <c r="J44" s="203">
        <v>64</v>
      </c>
      <c r="K44" s="203">
        <v>21</v>
      </c>
      <c r="L44" s="203">
        <v>43</v>
      </c>
      <c r="M44" s="203">
        <v>19</v>
      </c>
      <c r="N44" s="203">
        <v>44</v>
      </c>
      <c r="O44" s="203">
        <v>23</v>
      </c>
      <c r="P44" s="219">
        <v>46</v>
      </c>
      <c r="Q44" s="219">
        <v>70</v>
      </c>
      <c r="R44" s="219">
        <v>133</v>
      </c>
      <c r="S44" s="219">
        <v>52</v>
      </c>
      <c r="T44" s="219">
        <v>100</v>
      </c>
      <c r="U44" s="219">
        <v>42</v>
      </c>
      <c r="V44" s="215">
        <v>-5.2631578947368474E-2</v>
      </c>
      <c r="W44" s="215">
        <v>0.22222222222222232</v>
      </c>
      <c r="X44" s="215">
        <v>0.27777777777777768</v>
      </c>
      <c r="Y44" s="215">
        <v>-4.5454545454545414E-2</v>
      </c>
      <c r="Z44" s="215">
        <v>0.13043478260869557</v>
      </c>
      <c r="AA44" s="215">
        <v>0.52380952380952372</v>
      </c>
      <c r="AB44" s="215">
        <v>0.23076923076923084</v>
      </c>
      <c r="AC44" s="215">
        <v>-0.34375</v>
      </c>
      <c r="AD44" s="215">
        <v>-0.328125</v>
      </c>
      <c r="AE44" s="215">
        <v>-9.5238095238095233E-2</v>
      </c>
      <c r="AF44" s="215">
        <v>2.3255813953488413E-2</v>
      </c>
      <c r="AG44" s="215">
        <v>0.21052631578947367</v>
      </c>
      <c r="AH44" s="215">
        <v>4.5454545454545414E-2</v>
      </c>
      <c r="AI44" s="215">
        <v>2.0434782608695654</v>
      </c>
      <c r="AJ44" s="215">
        <v>1.8913043478260869</v>
      </c>
      <c r="AK44" s="215">
        <v>-0.25714285714285712</v>
      </c>
      <c r="AL44" s="215">
        <v>-0.24812030075187974</v>
      </c>
      <c r="AM44" s="215">
        <v>-0.19230769230769229</v>
      </c>
      <c r="AN44" s="30"/>
    </row>
    <row r="45" spans="1:40" ht="15" customHeight="1" outlineLevel="1" x14ac:dyDescent="0.2">
      <c r="A45" s="118" t="s">
        <v>584</v>
      </c>
      <c r="B45" s="203">
        <v>8</v>
      </c>
      <c r="C45" s="203">
        <v>3</v>
      </c>
      <c r="D45" s="202">
        <v>15</v>
      </c>
      <c r="E45" s="202">
        <v>2</v>
      </c>
      <c r="F45" s="202">
        <v>9</v>
      </c>
      <c r="G45" s="202">
        <v>1</v>
      </c>
      <c r="H45" s="202">
        <v>6</v>
      </c>
      <c r="I45" s="202">
        <v>4</v>
      </c>
      <c r="J45" s="203">
        <v>1</v>
      </c>
      <c r="K45" s="203">
        <v>2</v>
      </c>
      <c r="L45" s="203">
        <v>1</v>
      </c>
      <c r="M45" s="203">
        <v>0</v>
      </c>
      <c r="N45" s="203">
        <v>1</v>
      </c>
      <c r="O45" s="203">
        <v>0</v>
      </c>
      <c r="P45" s="219">
        <v>4</v>
      </c>
      <c r="Q45" s="219">
        <v>0</v>
      </c>
      <c r="R45" s="219">
        <v>16</v>
      </c>
      <c r="S45" s="219">
        <v>3</v>
      </c>
      <c r="T45" s="219">
        <v>-1</v>
      </c>
      <c r="U45" s="219">
        <v>2</v>
      </c>
      <c r="V45" s="215">
        <v>0.875</v>
      </c>
      <c r="W45" s="215">
        <v>-0.33333333333333337</v>
      </c>
      <c r="X45" s="215">
        <v>-0.4</v>
      </c>
      <c r="Y45" s="215">
        <v>-0.5</v>
      </c>
      <c r="Z45" s="215">
        <v>-0.33333333333333337</v>
      </c>
      <c r="AA45" s="215">
        <v>3</v>
      </c>
      <c r="AB45" s="215">
        <v>-0.83333333333333337</v>
      </c>
      <c r="AC45" s="215">
        <v>-0.5</v>
      </c>
      <c r="AD45" s="215">
        <v>0</v>
      </c>
      <c r="AE45" s="215">
        <v>-1</v>
      </c>
      <c r="AF45" s="215">
        <v>0</v>
      </c>
      <c r="AG45" s="223">
        <v>0</v>
      </c>
      <c r="AH45" s="215">
        <v>3</v>
      </c>
      <c r="AI45" s="215">
        <v>0</v>
      </c>
      <c r="AJ45" s="215">
        <v>3</v>
      </c>
      <c r="AK45" s="215"/>
      <c r="AL45" s="215">
        <v>-1.0625</v>
      </c>
      <c r="AM45" s="215">
        <v>-0.33333333333333337</v>
      </c>
      <c r="AN45" s="30"/>
    </row>
    <row r="46" spans="1:40" ht="15" customHeight="1" x14ac:dyDescent="0.2">
      <c r="A46" s="224" t="s">
        <v>644</v>
      </c>
      <c r="B46" s="225">
        <v>174</v>
      </c>
      <c r="C46" s="225">
        <v>52</v>
      </c>
      <c r="D46" s="225">
        <v>138</v>
      </c>
      <c r="E46" s="225">
        <v>62</v>
      </c>
      <c r="F46" s="225">
        <v>151</v>
      </c>
      <c r="G46" s="225">
        <v>136</v>
      </c>
      <c r="H46" s="225">
        <v>294</v>
      </c>
      <c r="I46" s="225">
        <v>171</v>
      </c>
      <c r="J46" s="206">
        <v>376</v>
      </c>
      <c r="K46" s="206">
        <v>94</v>
      </c>
      <c r="L46" s="206">
        <v>179</v>
      </c>
      <c r="M46" s="206">
        <v>128</v>
      </c>
      <c r="N46" s="206">
        <v>326</v>
      </c>
      <c r="O46" s="206">
        <v>226</v>
      </c>
      <c r="P46" s="226">
        <v>453</v>
      </c>
      <c r="Q46" s="383">
        <v>265</v>
      </c>
      <c r="R46" s="383">
        <v>535</v>
      </c>
      <c r="S46" s="437">
        <v>246</v>
      </c>
      <c r="T46" s="383">
        <v>580</v>
      </c>
      <c r="U46" s="383">
        <v>89</v>
      </c>
      <c r="V46" s="227">
        <v>-0.2068965517241379</v>
      </c>
      <c r="W46" s="227">
        <v>0.19230769230769229</v>
      </c>
      <c r="X46" s="227">
        <v>9.4202898550724612E-2</v>
      </c>
      <c r="Y46" s="227">
        <v>1.193548387096774</v>
      </c>
      <c r="Z46" s="227">
        <v>0.94701986754966883</v>
      </c>
      <c r="AA46" s="227">
        <v>0.25735294117647056</v>
      </c>
      <c r="AB46" s="227">
        <v>0.27891156462585043</v>
      </c>
      <c r="AC46" s="227">
        <v>-0.45029239766081874</v>
      </c>
      <c r="AD46" s="227">
        <v>-0.52393617021276595</v>
      </c>
      <c r="AE46" s="227">
        <v>0.36170212765957444</v>
      </c>
      <c r="AF46" s="227">
        <v>0.82122905027932958</v>
      </c>
      <c r="AG46" s="227">
        <v>0.765625</v>
      </c>
      <c r="AH46" s="227">
        <v>0.38957055214723924</v>
      </c>
      <c r="AI46" s="227">
        <v>0.17256637168141586</v>
      </c>
      <c r="AJ46" s="227">
        <v>0.18101545253863138</v>
      </c>
      <c r="AK46" s="227">
        <v>-7.1698113207547154E-2</v>
      </c>
      <c r="AL46" s="227">
        <v>8.4112149532710179E-2</v>
      </c>
      <c r="AM46" s="227">
        <v>-0.63821138211382111</v>
      </c>
      <c r="AN46" s="30"/>
    </row>
    <row r="47" spans="1:40" ht="15" customHeight="1" x14ac:dyDescent="0.2">
      <c r="A47" s="22" t="s">
        <v>55</v>
      </c>
      <c r="V47" s="248"/>
      <c r="W47" s="248"/>
      <c r="X47" s="248"/>
      <c r="Y47" s="248"/>
      <c r="Z47" s="248"/>
      <c r="AA47" s="248"/>
      <c r="AB47" s="248"/>
      <c r="AC47" s="248"/>
      <c r="AD47" s="248"/>
      <c r="AE47" s="248"/>
      <c r="AF47" s="248"/>
      <c r="AG47" s="248"/>
      <c r="AH47" s="248"/>
      <c r="AI47" s="248"/>
      <c r="AJ47" s="248"/>
      <c r="AK47" s="248"/>
      <c r="AL47" s="248"/>
      <c r="AM47" s="248"/>
    </row>
    <row r="48" spans="1:40" x14ac:dyDescent="0.2">
      <c r="V48" s="248"/>
      <c r="W48" s="248"/>
      <c r="X48" s="248"/>
      <c r="Y48" s="248"/>
      <c r="Z48" s="248"/>
      <c r="AA48" s="248"/>
      <c r="AB48" s="248"/>
      <c r="AC48" s="248"/>
      <c r="AD48" s="248"/>
      <c r="AE48" s="248"/>
      <c r="AF48" s="248"/>
      <c r="AG48" s="248"/>
      <c r="AH48" s="248"/>
      <c r="AI48" s="248"/>
      <c r="AJ48" s="248"/>
      <c r="AK48" s="248"/>
      <c r="AL48" s="248"/>
      <c r="AM48" s="248"/>
    </row>
    <row r="49" spans="1:39" x14ac:dyDescent="0.2">
      <c r="A49" s="209" t="s">
        <v>56</v>
      </c>
      <c r="V49" s="248"/>
      <c r="W49" s="248"/>
      <c r="X49" s="248"/>
      <c r="Y49" s="248"/>
      <c r="Z49" s="248"/>
      <c r="AA49" s="248"/>
      <c r="AB49" s="248"/>
      <c r="AC49" s="248"/>
      <c r="AD49" s="248"/>
      <c r="AE49" s="248"/>
      <c r="AF49" s="248"/>
      <c r="AG49" s="248"/>
      <c r="AH49" s="248"/>
      <c r="AI49" s="248"/>
      <c r="AJ49" s="248"/>
      <c r="AK49" s="248"/>
      <c r="AL49" s="248"/>
      <c r="AM49" s="248"/>
    </row>
    <row r="50" spans="1:39" s="20" customFormat="1" ht="25.5" x14ac:dyDescent="0.25">
      <c r="A50" s="210" t="s">
        <v>341</v>
      </c>
      <c r="B50" s="229"/>
      <c r="D50" s="229"/>
      <c r="E50" s="229"/>
      <c r="F50" s="229"/>
      <c r="G50" s="229"/>
      <c r="H50" s="229"/>
      <c r="I50" s="229"/>
      <c r="J50" s="229"/>
      <c r="K50" s="229"/>
      <c r="L50" s="229"/>
      <c r="M50" s="229"/>
      <c r="N50" s="229"/>
      <c r="O50" s="229"/>
      <c r="P50" s="229"/>
      <c r="Q50" s="229"/>
      <c r="R50" s="229"/>
      <c r="S50" s="229"/>
      <c r="T50" s="229"/>
      <c r="U50" s="229"/>
      <c r="V50" s="314"/>
      <c r="W50" s="314"/>
      <c r="X50" s="314"/>
      <c r="Y50" s="314"/>
      <c r="Z50" s="314"/>
      <c r="AA50" s="314"/>
      <c r="AB50" s="314"/>
      <c r="AC50" s="314"/>
      <c r="AD50" s="314"/>
      <c r="AE50" s="314"/>
      <c r="AF50" s="314"/>
      <c r="AG50" s="314"/>
      <c r="AH50" s="314"/>
      <c r="AI50" s="314"/>
      <c r="AJ50" s="314"/>
      <c r="AK50" s="314"/>
      <c r="AL50" s="314"/>
      <c r="AM50" s="314"/>
    </row>
    <row r="51" spans="1:39" s="20" customFormat="1" ht="80.25" customHeight="1" x14ac:dyDescent="0.25">
      <c r="A51" s="211" t="s">
        <v>386</v>
      </c>
      <c r="B51" s="229"/>
      <c r="C51" s="229"/>
      <c r="D51" s="229"/>
      <c r="E51" s="229"/>
      <c r="F51" s="229"/>
      <c r="G51" s="229"/>
      <c r="H51" s="229"/>
      <c r="I51" s="229"/>
      <c r="J51" s="229"/>
      <c r="K51" s="229"/>
      <c r="L51" s="229"/>
      <c r="M51" s="229"/>
      <c r="N51" s="229"/>
      <c r="O51" s="229"/>
      <c r="P51" s="229"/>
      <c r="Q51" s="229"/>
      <c r="R51" s="229"/>
      <c r="S51" s="229"/>
      <c r="T51" s="229"/>
      <c r="U51" s="229"/>
      <c r="V51" s="314"/>
      <c r="W51" s="314"/>
      <c r="X51" s="314"/>
      <c r="Y51" s="314"/>
      <c r="Z51" s="314"/>
      <c r="AA51" s="314"/>
      <c r="AB51" s="314"/>
      <c r="AC51" s="314"/>
      <c r="AD51" s="314"/>
      <c r="AE51" s="314"/>
      <c r="AF51" s="314"/>
      <c r="AG51" s="314"/>
      <c r="AH51" s="314"/>
      <c r="AI51" s="314"/>
      <c r="AJ51" s="314"/>
      <c r="AK51" s="314"/>
      <c r="AL51" s="314"/>
      <c r="AM51" s="314"/>
    </row>
    <row r="52" spans="1:39" x14ac:dyDescent="0.2">
      <c r="P52" s="32"/>
      <c r="Q52" s="32"/>
      <c r="R52" s="32"/>
      <c r="S52" s="32"/>
      <c r="T52" s="32"/>
      <c r="U52" s="32"/>
      <c r="V52" s="248"/>
      <c r="W52" s="248"/>
      <c r="X52" s="248"/>
      <c r="Y52" s="248"/>
      <c r="Z52" s="248"/>
      <c r="AA52" s="248"/>
      <c r="AB52" s="248"/>
      <c r="AC52" s="248"/>
      <c r="AD52" s="248"/>
      <c r="AE52" s="248"/>
      <c r="AF52" s="248"/>
      <c r="AG52" s="248"/>
      <c r="AH52" s="248"/>
      <c r="AI52" s="248"/>
      <c r="AJ52" s="248"/>
      <c r="AK52" s="248"/>
      <c r="AL52" s="248"/>
      <c r="AM52" s="248"/>
    </row>
    <row r="53" spans="1:39" x14ac:dyDescent="0.2">
      <c r="P53" s="22"/>
      <c r="Q53" s="22"/>
      <c r="R53" s="22"/>
      <c r="S53" s="22"/>
      <c r="T53" s="22"/>
      <c r="U53" s="22"/>
    </row>
    <row r="54" spans="1:39" x14ac:dyDescent="0.2">
      <c r="P54" s="22"/>
      <c r="Q54" s="22"/>
      <c r="R54" s="22"/>
      <c r="S54" s="22"/>
      <c r="T54" s="22"/>
      <c r="U54" s="22"/>
    </row>
  </sheetData>
  <customSheetViews>
    <customSheetView guid="{0879B2E0-1447-4BF4-B278-DFA3BD4BF3E7}" showPageBreaks="1" fitToPage="1" printArea="1" hiddenColumns="1" view="pageBreakPreview">
      <selection activeCell="AG44" sqref="AG44"/>
      <pageMargins left="0.7" right="0.7" top="0.75" bottom="0.75" header="0.3" footer="0.3"/>
      <pageSetup paperSize="9" scale="65" orientation="landscape" r:id="rId1"/>
    </customSheetView>
    <customSheetView guid="{B24A12A4-9623-4099-956E-0B4C7C8D3F73}" scale="85" showPageBreaks="1" fitToPage="1" printArea="1" hiddenColumns="1" view="pageBreakPreview" topLeftCell="A4">
      <selection activeCell="A44" sqref="A44"/>
      <pageMargins left="0.7" right="0.7" top="0.75" bottom="0.75" header="0.3" footer="0.3"/>
      <pageSetup paperSize="9" scale="60" orientation="landscape" r:id="rId2"/>
    </customSheetView>
    <customSheetView guid="{93BA635E-1664-4099-8295-6B100E16362A}" scale="85" showPageBreaks="1" fitToPage="1" printArea="1" hiddenColumns="1" view="pageBreakPreview" topLeftCell="A4">
      <selection activeCell="A44" sqref="A44"/>
      <pageMargins left="0.7" right="0.7" top="0.75" bottom="0.75" header="0.3" footer="0.3"/>
      <pageSetup paperSize="9" scale="60" orientation="landscape" r:id="rId3"/>
    </customSheetView>
  </customSheetViews>
  <hyperlinks>
    <hyperlink ref="AN2" location="MENU!A1" display="MENU"/>
  </hyperlinks>
  <pageMargins left="0.7" right="0.7" top="0.75" bottom="0.75" header="0.3" footer="0.3"/>
  <pageSetup paperSize="9" scale="58"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310273"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310273" r:id="rId10"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4981BF"/>
    <pageSetUpPr fitToPage="1"/>
  </sheetPr>
  <dimension ref="A1:AP68"/>
  <sheetViews>
    <sheetView view="pageBreakPreview" topLeftCell="A28" zoomScaleNormal="85" zoomScaleSheetLayoutView="100" zoomScalePageLayoutView="85" workbookViewId="0">
      <selection activeCell="S32" activeCellId="1" sqref="S19 S32"/>
    </sheetView>
  </sheetViews>
  <sheetFormatPr defaultColWidth="8.85546875" defaultRowHeight="12.75" outlineLevelRow="1" outlineLevelCol="1" x14ac:dyDescent="0.2"/>
  <cols>
    <col min="1" max="1" width="60.7109375" style="22" customWidth="1"/>
    <col min="2" max="16" width="7.7109375" style="64" customWidth="1"/>
    <col min="17" max="17" width="9.7109375" style="64" customWidth="1"/>
    <col min="18" max="19" width="7.7109375" style="64" customWidth="1"/>
    <col min="20" max="21" width="9.7109375" style="64" customWidth="1"/>
    <col min="22" max="29" width="10.7109375" style="64" hidden="1" customWidth="1" outlineLevel="1"/>
    <col min="30" max="33" width="10.7109375" style="22" hidden="1" customWidth="1" outlineLevel="1"/>
    <col min="34" max="39" width="10.7109375" style="64" hidden="1" customWidth="1" outlineLevel="1"/>
    <col min="40" max="40" width="8.85546875" style="358" collapsed="1"/>
    <col min="41" max="16384" width="8.85546875" style="22"/>
  </cols>
  <sheetData>
    <row r="1" spans="1:42" s="20" customFormat="1" ht="30" customHeight="1" thickBot="1" x14ac:dyDescent="0.3">
      <c r="A1" s="406" t="s">
        <v>631</v>
      </c>
      <c r="B1" s="409"/>
      <c r="C1" s="409"/>
      <c r="D1" s="409"/>
      <c r="E1" s="409"/>
      <c r="F1" s="409"/>
      <c r="G1" s="409"/>
      <c r="H1" s="409"/>
      <c r="I1" s="409"/>
      <c r="J1" s="409"/>
      <c r="K1" s="409"/>
      <c r="L1" s="409"/>
      <c r="M1" s="409"/>
      <c r="N1" s="409"/>
      <c r="O1" s="409"/>
      <c r="P1" s="409"/>
      <c r="Q1" s="409"/>
      <c r="R1" s="409"/>
      <c r="S1" s="428"/>
      <c r="T1" s="428"/>
      <c r="U1" s="428"/>
      <c r="V1" s="310"/>
      <c r="W1" s="310"/>
      <c r="X1" s="310"/>
      <c r="Y1" s="310"/>
      <c r="Z1" s="311"/>
      <c r="AA1" s="311"/>
      <c r="AB1" s="310"/>
      <c r="AC1" s="310"/>
      <c r="AD1" s="310"/>
      <c r="AE1" s="312"/>
      <c r="AF1" s="312"/>
      <c r="AG1" s="312"/>
      <c r="AH1" s="310"/>
      <c r="AI1" s="310"/>
      <c r="AJ1" s="312"/>
      <c r="AK1" s="312"/>
      <c r="AL1" s="312"/>
      <c r="AM1" s="312"/>
      <c r="AN1" s="316"/>
    </row>
    <row r="2" spans="1:42" s="20" customFormat="1" ht="30" customHeight="1" thickBot="1" x14ac:dyDescent="0.3">
      <c r="A2" s="408" t="s">
        <v>177</v>
      </c>
      <c r="B2" s="115">
        <v>2009</v>
      </c>
      <c r="C2" s="115" t="s">
        <v>208</v>
      </c>
      <c r="D2" s="115">
        <v>2010</v>
      </c>
      <c r="E2" s="115" t="s">
        <v>209</v>
      </c>
      <c r="F2" s="115">
        <v>2011</v>
      </c>
      <c r="G2" s="115" t="s">
        <v>210</v>
      </c>
      <c r="H2" s="115">
        <v>2012</v>
      </c>
      <c r="I2" s="115" t="s">
        <v>211</v>
      </c>
      <c r="J2" s="115">
        <v>2013</v>
      </c>
      <c r="K2" s="115" t="s">
        <v>212</v>
      </c>
      <c r="L2" s="115">
        <v>2014</v>
      </c>
      <c r="M2" s="115" t="s">
        <v>213</v>
      </c>
      <c r="N2" s="115">
        <v>2015</v>
      </c>
      <c r="O2" s="115" t="s">
        <v>343</v>
      </c>
      <c r="P2" s="115">
        <v>2016</v>
      </c>
      <c r="Q2" s="23" t="s">
        <v>405</v>
      </c>
      <c r="R2" s="23">
        <v>2017</v>
      </c>
      <c r="S2" s="23" t="s">
        <v>431</v>
      </c>
      <c r="T2" s="23">
        <v>2018</v>
      </c>
      <c r="U2" s="23" t="s">
        <v>577</v>
      </c>
      <c r="V2" s="23" t="s">
        <v>283</v>
      </c>
      <c r="W2" s="23" t="s">
        <v>242</v>
      </c>
      <c r="X2" s="23" t="s">
        <v>233</v>
      </c>
      <c r="Y2" s="23" t="s">
        <v>284</v>
      </c>
      <c r="Z2" s="23" t="s">
        <v>285</v>
      </c>
      <c r="AA2" s="23" t="s">
        <v>286</v>
      </c>
      <c r="AB2" s="23" t="s">
        <v>246</v>
      </c>
      <c r="AC2" s="23" t="s">
        <v>287</v>
      </c>
      <c r="AD2" s="23" t="s">
        <v>288</v>
      </c>
      <c r="AE2" s="23" t="s">
        <v>289</v>
      </c>
      <c r="AF2" s="23" t="s">
        <v>337</v>
      </c>
      <c r="AG2" s="23" t="s">
        <v>342</v>
      </c>
      <c r="AH2" s="23" t="s">
        <v>368</v>
      </c>
      <c r="AI2" s="23" t="s">
        <v>409</v>
      </c>
      <c r="AJ2" s="23" t="s">
        <v>419</v>
      </c>
      <c r="AK2" s="23" t="s">
        <v>435</v>
      </c>
      <c r="AL2" s="23" t="s">
        <v>490</v>
      </c>
      <c r="AM2" s="23" t="s">
        <v>588</v>
      </c>
      <c r="AN2" s="317" t="s">
        <v>215</v>
      </c>
    </row>
    <row r="3" spans="1:42" s="32" customFormat="1" ht="15" customHeight="1" x14ac:dyDescent="0.25">
      <c r="A3" s="178" t="s">
        <v>105</v>
      </c>
      <c r="B3" s="354"/>
      <c r="C3" s="354"/>
      <c r="D3" s="354"/>
      <c r="E3" s="354"/>
      <c r="F3" s="354"/>
      <c r="G3" s="354"/>
      <c r="H3" s="354"/>
      <c r="I3" s="354"/>
      <c r="J3" s="354"/>
      <c r="K3" s="354"/>
      <c r="L3" s="354"/>
      <c r="M3" s="354"/>
      <c r="N3" s="354"/>
      <c r="O3" s="354"/>
      <c r="P3" s="354"/>
      <c r="Q3" s="354"/>
      <c r="R3" s="354"/>
      <c r="S3" s="354"/>
      <c r="T3" s="354"/>
      <c r="U3" s="354"/>
      <c r="V3" s="355"/>
      <c r="W3" s="355"/>
      <c r="X3" s="355"/>
      <c r="Y3" s="355"/>
      <c r="Z3" s="355"/>
      <c r="AA3" s="355"/>
      <c r="AB3" s="355"/>
      <c r="AC3" s="355"/>
      <c r="AD3" s="356"/>
      <c r="AE3" s="356"/>
      <c r="AF3" s="356"/>
      <c r="AG3" s="356"/>
      <c r="AH3" s="355"/>
      <c r="AI3" s="355"/>
      <c r="AJ3" s="355"/>
      <c r="AK3" s="355"/>
      <c r="AL3" s="355"/>
      <c r="AM3" s="563"/>
      <c r="AN3" s="357"/>
      <c r="AP3" s="22"/>
    </row>
    <row r="4" spans="1:42" s="32" customFormat="1" ht="15" customHeight="1" x14ac:dyDescent="0.2">
      <c r="A4" s="171" t="s">
        <v>142</v>
      </c>
      <c r="B4" s="354"/>
      <c r="C4" s="354"/>
      <c r="D4" s="354"/>
      <c r="E4" s="354"/>
      <c r="F4" s="354"/>
      <c r="G4" s="354"/>
      <c r="H4" s="354"/>
      <c r="I4" s="354"/>
      <c r="J4" s="354"/>
      <c r="K4" s="354"/>
      <c r="L4" s="354"/>
      <c r="M4" s="354"/>
      <c r="N4" s="354"/>
      <c r="O4" s="354"/>
      <c r="P4" s="354"/>
      <c r="Q4" s="354"/>
      <c r="R4" s="354"/>
      <c r="S4" s="354"/>
      <c r="T4" s="354"/>
      <c r="U4" s="354"/>
      <c r="V4" s="355"/>
      <c r="W4" s="355"/>
      <c r="X4" s="355"/>
      <c r="Y4" s="355"/>
      <c r="Z4" s="355"/>
      <c r="AA4" s="355"/>
      <c r="AB4" s="355"/>
      <c r="AC4" s="355"/>
      <c r="AD4" s="356"/>
      <c r="AE4" s="356"/>
      <c r="AF4" s="356"/>
      <c r="AG4" s="356"/>
      <c r="AH4" s="355"/>
      <c r="AI4" s="355"/>
      <c r="AJ4" s="355"/>
      <c r="AK4" s="355"/>
      <c r="AL4" s="355"/>
      <c r="AM4" s="29"/>
      <c r="AN4" s="357"/>
      <c r="AP4" s="22"/>
    </row>
    <row r="5" spans="1:42" ht="15" customHeight="1" outlineLevel="1" x14ac:dyDescent="0.2">
      <c r="A5" s="133" t="s">
        <v>106</v>
      </c>
      <c r="B5" s="27">
        <v>1057.7996924349386</v>
      </c>
      <c r="C5" s="27">
        <v>570.40174146049162</v>
      </c>
      <c r="D5" s="27">
        <v>1168.2770775050715</v>
      </c>
      <c r="E5" s="27">
        <v>703.84565699999996</v>
      </c>
      <c r="F5" s="27">
        <v>1409.6711391289248</v>
      </c>
      <c r="G5" s="27">
        <v>720.89283900961379</v>
      </c>
      <c r="H5" s="27">
        <v>1467</v>
      </c>
      <c r="I5" s="27">
        <v>771.98521916782965</v>
      </c>
      <c r="J5" s="27">
        <v>1780.506797443833</v>
      </c>
      <c r="K5" s="27">
        <v>829</v>
      </c>
      <c r="L5" s="27">
        <v>1531.7795526424179</v>
      </c>
      <c r="M5" s="27">
        <v>570.01781745890014</v>
      </c>
      <c r="N5" s="27">
        <v>1106</v>
      </c>
      <c r="O5" s="27">
        <v>529</v>
      </c>
      <c r="P5" s="27">
        <v>1126</v>
      </c>
      <c r="Q5" s="27">
        <v>684</v>
      </c>
      <c r="R5" s="27">
        <v>1355</v>
      </c>
      <c r="S5" s="27">
        <v>640</v>
      </c>
      <c r="T5" s="27">
        <v>1272</v>
      </c>
      <c r="U5" s="27">
        <v>594</v>
      </c>
      <c r="V5" s="215">
        <v>0.10444074228819833</v>
      </c>
      <c r="W5" s="215">
        <v>0.23394724426652402</v>
      </c>
      <c r="X5" s="215">
        <v>0.20662398182061859</v>
      </c>
      <c r="Y5" s="215">
        <v>2.4220057110637017E-2</v>
      </c>
      <c r="Z5" s="215">
        <v>4.0668251821130763E-2</v>
      </c>
      <c r="AA5" s="215">
        <v>7.0873751816439512E-2</v>
      </c>
      <c r="AB5" s="215">
        <v>0.21370606506055423</v>
      </c>
      <c r="AC5" s="215">
        <v>7.3854757081528222E-2</v>
      </c>
      <c r="AD5" s="215">
        <v>-0.1396946336618865</v>
      </c>
      <c r="AE5" s="215">
        <v>-0.31240311524861264</v>
      </c>
      <c r="AF5" s="215">
        <v>-0.27796398764294827</v>
      </c>
      <c r="AG5" s="215">
        <v>-7.1958833921639043E-2</v>
      </c>
      <c r="AH5" s="215">
        <v>1.8083182640144635E-2</v>
      </c>
      <c r="AI5" s="215">
        <v>0.27977315689981097</v>
      </c>
      <c r="AJ5" s="215">
        <v>0.20337477797513315</v>
      </c>
      <c r="AK5" s="119">
        <v>-4.2397660818713434E-2</v>
      </c>
      <c r="AL5" s="29">
        <v>-6.1254612546125409E-2</v>
      </c>
      <c r="AM5" s="29">
        <v>-9.3129770992366398E-2</v>
      </c>
    </row>
    <row r="6" spans="1:42" ht="15" customHeight="1" outlineLevel="1" x14ac:dyDescent="0.2">
      <c r="A6" s="133" t="s">
        <v>107</v>
      </c>
      <c r="B6" s="27">
        <v>972.89646339663955</v>
      </c>
      <c r="C6" s="27">
        <v>516.58500837601821</v>
      </c>
      <c r="D6" s="27">
        <v>1033.8195919286484</v>
      </c>
      <c r="E6" s="27">
        <v>568.45046100000002</v>
      </c>
      <c r="F6" s="27">
        <v>1115.4922707861242</v>
      </c>
      <c r="G6" s="27">
        <v>626.26408425227191</v>
      </c>
      <c r="H6" s="27">
        <v>1204</v>
      </c>
      <c r="I6" s="27">
        <v>533.22429208794586</v>
      </c>
      <c r="J6" s="27">
        <v>682.32268573212184</v>
      </c>
      <c r="K6" s="27">
        <v>280</v>
      </c>
      <c r="L6" s="27">
        <v>521.30598928004486</v>
      </c>
      <c r="M6" s="27">
        <v>173.72261421552594</v>
      </c>
      <c r="N6" s="27">
        <v>414</v>
      </c>
      <c r="O6" s="27">
        <v>186</v>
      </c>
      <c r="P6" s="27">
        <v>484</v>
      </c>
      <c r="Q6" s="27">
        <v>275</v>
      </c>
      <c r="R6" s="27">
        <v>659</v>
      </c>
      <c r="S6" s="27">
        <v>283</v>
      </c>
      <c r="T6" s="27">
        <v>640</v>
      </c>
      <c r="U6" s="27">
        <v>233</v>
      </c>
      <c r="V6" s="215">
        <v>6.2620361800175495E-2</v>
      </c>
      <c r="W6" s="215">
        <v>0.10040061516115339</v>
      </c>
      <c r="X6" s="215">
        <v>7.9000900635971538E-2</v>
      </c>
      <c r="Y6" s="215">
        <v>0.10170389016937031</v>
      </c>
      <c r="Z6" s="215">
        <v>7.9344099042032434E-2</v>
      </c>
      <c r="AA6" s="215">
        <v>-0.14856319323406664</v>
      </c>
      <c r="AB6" s="215">
        <v>-0.43328680587033075</v>
      </c>
      <c r="AC6" s="215">
        <v>-0.47489264057418645</v>
      </c>
      <c r="AD6" s="215">
        <v>-0.23598320826649422</v>
      </c>
      <c r="AE6" s="215">
        <v>-0.37956209208740732</v>
      </c>
      <c r="AF6" s="215">
        <v>-0.20584069910311398</v>
      </c>
      <c r="AG6" s="215">
        <v>7.0672352243343228E-2</v>
      </c>
      <c r="AH6" s="215">
        <v>0.16908212560386482</v>
      </c>
      <c r="AI6" s="215">
        <v>0.40860215053763449</v>
      </c>
      <c r="AJ6" s="215">
        <v>0.36157024793388426</v>
      </c>
      <c r="AK6" s="215">
        <v>2.9090909090909056E-2</v>
      </c>
      <c r="AL6" s="215">
        <v>-2.8831562974203306E-2</v>
      </c>
      <c r="AM6" s="215">
        <v>-0.17667844522968201</v>
      </c>
    </row>
    <row r="7" spans="1:42" ht="15" customHeight="1" outlineLevel="1" x14ac:dyDescent="0.2">
      <c r="A7" s="133" t="s">
        <v>108</v>
      </c>
      <c r="B7" s="27">
        <v>0</v>
      </c>
      <c r="C7" s="27">
        <v>0</v>
      </c>
      <c r="D7" s="27">
        <v>0</v>
      </c>
      <c r="E7" s="27">
        <v>0</v>
      </c>
      <c r="F7" s="27">
        <v>0</v>
      </c>
      <c r="G7" s="27">
        <v>0</v>
      </c>
      <c r="H7" s="27">
        <v>0</v>
      </c>
      <c r="I7" s="27">
        <v>0</v>
      </c>
      <c r="J7" s="27">
        <v>199</v>
      </c>
      <c r="K7" s="27">
        <v>59</v>
      </c>
      <c r="L7" s="27">
        <v>128</v>
      </c>
      <c r="M7" s="27">
        <v>34.619222620006695</v>
      </c>
      <c r="N7" s="27">
        <v>75</v>
      </c>
      <c r="O7" s="27">
        <v>25</v>
      </c>
      <c r="P7" s="27">
        <v>60</v>
      </c>
      <c r="Q7" s="27">
        <v>48</v>
      </c>
      <c r="R7" s="27">
        <v>81</v>
      </c>
      <c r="S7" s="27">
        <v>45</v>
      </c>
      <c r="T7" s="27">
        <v>87</v>
      </c>
      <c r="U7" s="27">
        <v>48</v>
      </c>
      <c r="V7" s="215"/>
      <c r="W7" s="215"/>
      <c r="X7" s="215"/>
      <c r="Y7" s="215"/>
      <c r="Z7" s="215"/>
      <c r="AA7" s="215"/>
      <c r="AB7" s="215"/>
      <c r="AC7" s="215"/>
      <c r="AD7" s="215">
        <v>-0.35678391959798994</v>
      </c>
      <c r="AE7" s="215">
        <v>-0.41323351491514071</v>
      </c>
      <c r="AF7" s="215">
        <v>-0.4140625</v>
      </c>
      <c r="AG7" s="215">
        <v>-0.27785784578674155</v>
      </c>
      <c r="AH7" s="215">
        <v>-0.19999999999999996</v>
      </c>
      <c r="AI7" s="215">
        <v>0.91999999999999993</v>
      </c>
      <c r="AJ7" s="215">
        <v>0.35000000000000009</v>
      </c>
      <c r="AK7" s="215">
        <v>-6.25E-2</v>
      </c>
      <c r="AL7" s="215">
        <v>7.4074074074074181E-2</v>
      </c>
      <c r="AM7" s="215">
        <v>6.6666666666666652E-2</v>
      </c>
    </row>
    <row r="8" spans="1:42" outlineLevel="1" x14ac:dyDescent="0.2">
      <c r="A8" s="133" t="s">
        <v>420</v>
      </c>
      <c r="B8" s="27">
        <v>33.499634619844869</v>
      </c>
      <c r="C8" s="27">
        <v>344.07892503555917</v>
      </c>
      <c r="D8" s="27">
        <v>251</v>
      </c>
      <c r="E8" s="27">
        <v>534.66100000000006</v>
      </c>
      <c r="F8" s="27">
        <v>455.67750542726185</v>
      </c>
      <c r="G8" s="27">
        <v>425.66464252090066</v>
      </c>
      <c r="H8" s="27">
        <v>400</v>
      </c>
      <c r="I8" s="27">
        <v>220.4471087392777</v>
      </c>
      <c r="J8" s="27">
        <v>537.33467231059331</v>
      </c>
      <c r="K8" s="308">
        <v>195</v>
      </c>
      <c r="L8" s="27">
        <v>501.87687173521829</v>
      </c>
      <c r="M8" s="27">
        <v>92.265930035066447</v>
      </c>
      <c r="N8" s="27">
        <v>457</v>
      </c>
      <c r="O8" s="27">
        <v>57</v>
      </c>
      <c r="P8" s="27">
        <v>0</v>
      </c>
      <c r="Q8" s="27"/>
      <c r="R8" s="27">
        <v>0</v>
      </c>
      <c r="S8" s="27">
        <v>0</v>
      </c>
      <c r="T8" s="27">
        <v>0</v>
      </c>
      <c r="U8" s="27">
        <v>0</v>
      </c>
      <c r="V8" s="215">
        <v>6.4947428899747655</v>
      </c>
      <c r="W8" s="215">
        <v>0.55389057886862725</v>
      </c>
      <c r="X8" s="215">
        <v>0.81493376821866859</v>
      </c>
      <c r="Y8" s="215">
        <v>-0.20386068458163098</v>
      </c>
      <c r="Z8" s="215">
        <v>-0.12218620573569094</v>
      </c>
      <c r="AA8" s="215">
        <v>-0.48211082923465165</v>
      </c>
      <c r="AB8" s="215">
        <v>0.34333668077648327</v>
      </c>
      <c r="AC8" s="215">
        <v>-0.11543407797366001</v>
      </c>
      <c r="AD8" s="215">
        <v>-6.5988298173469628E-2</v>
      </c>
      <c r="AE8" s="215">
        <v>-0.52684138443555661</v>
      </c>
      <c r="AF8" s="215">
        <v>-8.9418090895598268E-2</v>
      </c>
      <c r="AG8" s="215">
        <v>-0.38222050134500707</v>
      </c>
      <c r="AH8" s="215">
        <v>-1</v>
      </c>
      <c r="AI8" s="215">
        <v>0.38596491228070184</v>
      </c>
      <c r="AJ8" s="215"/>
      <c r="AK8" s="215"/>
      <c r="AL8" s="215"/>
      <c r="AM8" s="215"/>
    </row>
    <row r="9" spans="1:42" ht="15" customHeight="1" outlineLevel="1" x14ac:dyDescent="0.2">
      <c r="A9" s="133" t="s">
        <v>437</v>
      </c>
      <c r="B9" s="27"/>
      <c r="C9" s="27"/>
      <c r="D9" s="27"/>
      <c r="E9" s="27"/>
      <c r="F9" s="27"/>
      <c r="G9" s="27"/>
      <c r="H9" s="27"/>
      <c r="I9" s="27"/>
      <c r="J9" s="27"/>
      <c r="K9" s="308"/>
      <c r="L9" s="27"/>
      <c r="M9" s="27"/>
      <c r="N9" s="27"/>
      <c r="O9" s="27"/>
      <c r="P9" s="27">
        <v>184</v>
      </c>
      <c r="Q9" s="27">
        <v>85</v>
      </c>
      <c r="R9" s="27">
        <v>530</v>
      </c>
      <c r="S9" s="27">
        <v>196</v>
      </c>
      <c r="T9" s="27">
        <v>430</v>
      </c>
      <c r="U9" s="27">
        <v>192</v>
      </c>
      <c r="V9" s="215"/>
      <c r="W9" s="215"/>
      <c r="X9" s="215"/>
      <c r="Y9" s="215"/>
      <c r="Z9" s="215"/>
      <c r="AA9" s="215"/>
      <c r="AB9" s="215"/>
      <c r="AC9" s="215"/>
      <c r="AD9" s="215"/>
      <c r="AE9" s="215"/>
      <c r="AF9" s="215"/>
      <c r="AG9" s="215"/>
      <c r="AH9" s="215"/>
      <c r="AI9" s="215"/>
      <c r="AJ9" s="215">
        <v>1.8804347826086958</v>
      </c>
      <c r="AK9" s="215">
        <v>1.3058823529411763</v>
      </c>
      <c r="AL9" s="215">
        <v>-0.18867924528301883</v>
      </c>
      <c r="AM9" s="215">
        <v>-2.0408163265306145E-2</v>
      </c>
    </row>
    <row r="10" spans="1:42" ht="15" customHeight="1" outlineLevel="1" x14ac:dyDescent="0.2">
      <c r="A10" s="133" t="s">
        <v>416</v>
      </c>
      <c r="B10" s="27"/>
      <c r="C10" s="27"/>
      <c r="D10" s="27"/>
      <c r="E10" s="27"/>
      <c r="F10" s="27"/>
      <c r="G10" s="27"/>
      <c r="H10" s="27"/>
      <c r="I10" s="27"/>
      <c r="J10" s="27"/>
      <c r="K10" s="308"/>
      <c r="L10" s="27"/>
      <c r="M10" s="27"/>
      <c r="N10" s="27"/>
      <c r="O10" s="27"/>
      <c r="P10" s="27">
        <v>11.182025799434232</v>
      </c>
      <c r="Q10" s="27">
        <v>108</v>
      </c>
      <c r="R10" s="27">
        <v>233.67700000000002</v>
      </c>
      <c r="S10" s="27">
        <v>248</v>
      </c>
      <c r="T10" s="27">
        <v>415</v>
      </c>
      <c r="U10" s="27">
        <v>217</v>
      </c>
      <c r="V10" s="215"/>
      <c r="W10" s="215"/>
      <c r="X10" s="215"/>
      <c r="Y10" s="215"/>
      <c r="Z10" s="215"/>
      <c r="AA10" s="215"/>
      <c r="AB10" s="215"/>
      <c r="AC10" s="215"/>
      <c r="AD10" s="215"/>
      <c r="AE10" s="215"/>
      <c r="AF10" s="215"/>
      <c r="AG10" s="215"/>
      <c r="AH10" s="215"/>
      <c r="AI10" s="215"/>
      <c r="AJ10" s="215">
        <f t="shared" ref="AJ10" si="0">R10/P10-1</f>
        <v>19.897555075559133</v>
      </c>
      <c r="AK10" s="215">
        <v>1.2962962962962963</v>
      </c>
      <c r="AL10" s="215">
        <v>0.77595569953397203</v>
      </c>
      <c r="AM10" s="215">
        <v>-0.125</v>
      </c>
    </row>
    <row r="11" spans="1:42" ht="15" customHeight="1" outlineLevel="1" x14ac:dyDescent="0.2">
      <c r="A11" s="133" t="s">
        <v>417</v>
      </c>
      <c r="B11" s="27"/>
      <c r="C11" s="27"/>
      <c r="D11" s="27"/>
      <c r="E11" s="27"/>
      <c r="F11" s="27"/>
      <c r="G11" s="27"/>
      <c r="H11" s="27"/>
      <c r="I11" s="27"/>
      <c r="J11" s="27"/>
      <c r="K11" s="308"/>
      <c r="L11" s="27"/>
      <c r="M11" s="27"/>
      <c r="N11" s="27"/>
      <c r="O11" s="27"/>
      <c r="P11" s="27">
        <v>0</v>
      </c>
      <c r="Q11" s="27"/>
      <c r="R11" s="27">
        <v>0</v>
      </c>
      <c r="S11" s="27"/>
      <c r="T11" s="27"/>
      <c r="U11" s="27"/>
      <c r="V11" s="215"/>
      <c r="W11" s="215"/>
      <c r="X11" s="215"/>
      <c r="Y11" s="215"/>
      <c r="Z11" s="215"/>
      <c r="AA11" s="215"/>
      <c r="AB11" s="215"/>
      <c r="AC11" s="215"/>
      <c r="AD11" s="215"/>
      <c r="AE11" s="215"/>
      <c r="AF11" s="215"/>
      <c r="AG11" s="215"/>
      <c r="AH11" s="215"/>
      <c r="AI11" s="215"/>
      <c r="AJ11" s="215"/>
      <c r="AK11" s="215"/>
      <c r="AL11" s="215"/>
      <c r="AM11" s="215"/>
    </row>
    <row r="12" spans="1:42" s="25" customFormat="1" ht="15" customHeight="1" outlineLevel="1" x14ac:dyDescent="0.2">
      <c r="A12" s="133" t="s">
        <v>347</v>
      </c>
      <c r="B12" s="27">
        <v>332.83890945114848</v>
      </c>
      <c r="C12" s="27">
        <v>171.36095167465908</v>
      </c>
      <c r="D12" s="27">
        <v>389.93293156553375</v>
      </c>
      <c r="E12" s="27">
        <v>178.28405700000002</v>
      </c>
      <c r="F12" s="27">
        <v>353.04486476180182</v>
      </c>
      <c r="G12" s="27">
        <v>179.26243846266209</v>
      </c>
      <c r="H12" s="27">
        <v>459</v>
      </c>
      <c r="I12" s="27">
        <v>143.51666848872617</v>
      </c>
      <c r="J12" s="27">
        <v>341.17102218274056</v>
      </c>
      <c r="K12" s="27">
        <v>129</v>
      </c>
      <c r="L12" s="27">
        <v>272.68068589200954</v>
      </c>
      <c r="M12" s="27">
        <v>69.703039351744351</v>
      </c>
      <c r="N12" s="27">
        <v>140</v>
      </c>
      <c r="O12" s="27">
        <v>67</v>
      </c>
      <c r="P12" s="27">
        <v>159</v>
      </c>
      <c r="Q12" s="27">
        <v>99</v>
      </c>
      <c r="R12" s="27">
        <v>194</v>
      </c>
      <c r="S12" s="27">
        <v>68</v>
      </c>
      <c r="T12" s="27">
        <v>153</v>
      </c>
      <c r="U12" s="27">
        <v>68</v>
      </c>
      <c r="V12" s="215">
        <v>0.17153650157228717</v>
      </c>
      <c r="W12" s="215">
        <v>4.040071706934123E-2</v>
      </c>
      <c r="X12" s="215">
        <v>-9.460105525232454E-2</v>
      </c>
      <c r="Y12" s="215">
        <v>5.4877675498603562E-3</v>
      </c>
      <c r="Z12" s="215">
        <v>0.30011804678050136</v>
      </c>
      <c r="AA12" s="215">
        <v>-0.19940468444191828</v>
      </c>
      <c r="AB12" s="215">
        <v>-0.25670801267376786</v>
      </c>
      <c r="AC12" s="215">
        <v>-0.10114970366572096</v>
      </c>
      <c r="AD12" s="215">
        <v>-0.20075074328571119</v>
      </c>
      <c r="AE12" s="215">
        <v>-0.4596663616143849</v>
      </c>
      <c r="AF12" s="215">
        <v>-0.48657896490899766</v>
      </c>
      <c r="AG12" s="215">
        <v>-3.8779361371947263E-2</v>
      </c>
      <c r="AH12" s="215">
        <v>0.13571428571428568</v>
      </c>
      <c r="AI12" s="215">
        <v>0.16417910447761197</v>
      </c>
      <c r="AJ12" s="215">
        <v>0.22012578616352196</v>
      </c>
      <c r="AK12" s="215">
        <v>-0.31313131313131315</v>
      </c>
      <c r="AL12" s="215">
        <v>-0.21134020618556704</v>
      </c>
      <c r="AM12" s="215">
        <v>0</v>
      </c>
      <c r="AN12" s="359"/>
    </row>
    <row r="13" spans="1:42" ht="15" customHeight="1" outlineLevel="1" x14ac:dyDescent="0.2">
      <c r="A13" s="133" t="s">
        <v>348</v>
      </c>
      <c r="B13" s="27">
        <v>134</v>
      </c>
      <c r="C13" s="27">
        <v>83</v>
      </c>
      <c r="D13" s="27">
        <v>160</v>
      </c>
      <c r="E13" s="27">
        <v>95</v>
      </c>
      <c r="F13" s="27">
        <v>167</v>
      </c>
      <c r="G13" s="27">
        <v>96</v>
      </c>
      <c r="H13" s="27">
        <v>189</v>
      </c>
      <c r="I13" s="27">
        <v>142</v>
      </c>
      <c r="J13" s="27">
        <v>254</v>
      </c>
      <c r="K13" s="27">
        <v>108</v>
      </c>
      <c r="L13" s="27">
        <v>190</v>
      </c>
      <c r="M13" s="27">
        <v>59.450800105894409</v>
      </c>
      <c r="N13" s="27">
        <v>128</v>
      </c>
      <c r="O13" s="27">
        <v>67</v>
      </c>
      <c r="P13" s="27">
        <v>122</v>
      </c>
      <c r="Q13" s="27">
        <v>106</v>
      </c>
      <c r="R13" s="27">
        <v>221</v>
      </c>
      <c r="S13" s="27">
        <v>110</v>
      </c>
      <c r="T13" s="27">
        <v>212</v>
      </c>
      <c r="U13" s="27">
        <v>110</v>
      </c>
      <c r="V13" s="215">
        <v>0.19402985074626855</v>
      </c>
      <c r="W13" s="215">
        <v>0.14457831325301207</v>
      </c>
      <c r="X13" s="215">
        <v>4.3749999999999956E-2</v>
      </c>
      <c r="Y13" s="215">
        <v>1.0526315789473717E-2</v>
      </c>
      <c r="Z13" s="215">
        <v>0.13173652694610771</v>
      </c>
      <c r="AA13" s="215">
        <v>0.47916666666666674</v>
      </c>
      <c r="AB13" s="215">
        <v>0.34391534391534395</v>
      </c>
      <c r="AC13" s="215">
        <v>-0.23943661971830987</v>
      </c>
      <c r="AD13" s="215">
        <v>-0.25196850393700787</v>
      </c>
      <c r="AE13" s="215">
        <v>-0.44952962864912582</v>
      </c>
      <c r="AF13" s="215">
        <v>-0.32631578947368423</v>
      </c>
      <c r="AG13" s="215">
        <v>0.12698230941650701</v>
      </c>
      <c r="AH13" s="215">
        <v>-4.6875E-2</v>
      </c>
      <c r="AI13" s="215">
        <v>0.58208955223880587</v>
      </c>
      <c r="AJ13" s="215">
        <v>0.81147540983606548</v>
      </c>
      <c r="AK13" s="215">
        <v>-0.17924528301886788</v>
      </c>
      <c r="AL13" s="215">
        <v>-4.0723981900452455E-2</v>
      </c>
      <c r="AM13" s="215">
        <v>0</v>
      </c>
    </row>
    <row r="14" spans="1:42" ht="15" customHeight="1" outlineLevel="1" x14ac:dyDescent="0.2">
      <c r="A14" s="133" t="s">
        <v>349</v>
      </c>
      <c r="B14" s="27">
        <v>75.612004070146526</v>
      </c>
      <c r="C14" s="27">
        <v>47.725897411227599</v>
      </c>
      <c r="D14" s="27">
        <v>95.263236527341832</v>
      </c>
      <c r="E14" s="27">
        <v>67.99243899999999</v>
      </c>
      <c r="F14" s="27">
        <v>132.2280629063176</v>
      </c>
      <c r="G14" s="27">
        <v>51.909532983409186</v>
      </c>
      <c r="H14" s="27">
        <v>202</v>
      </c>
      <c r="I14" s="27">
        <v>25.688290942389926</v>
      </c>
      <c r="J14" s="27">
        <v>138.70300737937004</v>
      </c>
      <c r="K14" s="27">
        <v>101</v>
      </c>
      <c r="L14" s="27">
        <v>116.25297481065675</v>
      </c>
      <c r="M14" s="27">
        <v>45.860584333400119</v>
      </c>
      <c r="N14" s="27">
        <v>76</v>
      </c>
      <c r="O14" s="27">
        <v>32</v>
      </c>
      <c r="P14" s="27">
        <v>73</v>
      </c>
      <c r="Q14" s="27">
        <v>54</v>
      </c>
      <c r="R14" s="27">
        <v>102</v>
      </c>
      <c r="S14" s="27">
        <v>52</v>
      </c>
      <c r="T14" s="27">
        <v>98</v>
      </c>
      <c r="U14" s="27">
        <v>55</v>
      </c>
      <c r="V14" s="215">
        <v>0.25989566999129576</v>
      </c>
      <c r="W14" s="215">
        <v>0.42464453657407075</v>
      </c>
      <c r="X14" s="215">
        <v>0.3880282439109275</v>
      </c>
      <c r="Y14" s="215">
        <v>-0.23653962489256797</v>
      </c>
      <c r="Z14" s="215">
        <v>0.52766361058404976</v>
      </c>
      <c r="AA14" s="215">
        <v>-0.50513346073446352</v>
      </c>
      <c r="AB14" s="215">
        <v>-0.31335144861698006</v>
      </c>
      <c r="AC14" s="215">
        <v>2.9317524169478051</v>
      </c>
      <c r="AD14" s="215">
        <v>-0.16185685510992309</v>
      </c>
      <c r="AE14" s="215">
        <v>-0.54593480858019683</v>
      </c>
      <c r="AF14" s="215">
        <v>-0.34625328836717917</v>
      </c>
      <c r="AG14" s="215">
        <v>-0.30223305121093935</v>
      </c>
      <c r="AH14" s="215">
        <v>-3.9473684210526327E-2</v>
      </c>
      <c r="AI14" s="215">
        <v>0.53125</v>
      </c>
      <c r="AJ14" s="215">
        <v>0.39726027397260277</v>
      </c>
      <c r="AK14" s="215">
        <v>-3.703703703703709E-2</v>
      </c>
      <c r="AL14" s="215">
        <v>-3.9215686274509776E-2</v>
      </c>
      <c r="AM14" s="215">
        <v>5.7692307692307709E-2</v>
      </c>
      <c r="AP14" s="360"/>
    </row>
    <row r="15" spans="1:42" ht="15" customHeight="1" outlineLevel="1" x14ac:dyDescent="0.2">
      <c r="A15" s="133" t="s">
        <v>109</v>
      </c>
      <c r="B15" s="27">
        <v>150.20544392303816</v>
      </c>
      <c r="C15" s="27">
        <v>64.871128321375451</v>
      </c>
      <c r="D15" s="27">
        <v>166.8523116866042</v>
      </c>
      <c r="E15" s="27">
        <v>82.694061000000005</v>
      </c>
      <c r="F15" s="27">
        <v>143.64073201335518</v>
      </c>
      <c r="G15" s="27">
        <v>79.091100586669313</v>
      </c>
      <c r="H15" s="27">
        <v>153</v>
      </c>
      <c r="I15" s="27">
        <v>73.884668925541632</v>
      </c>
      <c r="J15" s="27">
        <v>112.93979372277242</v>
      </c>
      <c r="K15" s="27">
        <v>48</v>
      </c>
      <c r="L15" s="27">
        <v>83.155308609730383</v>
      </c>
      <c r="M15" s="27">
        <v>38.119416108171528</v>
      </c>
      <c r="N15" s="27">
        <v>73</v>
      </c>
      <c r="O15" s="27">
        <v>30</v>
      </c>
      <c r="P15" s="27">
        <v>69</v>
      </c>
      <c r="Q15" s="27">
        <v>29</v>
      </c>
      <c r="R15" s="27">
        <v>61</v>
      </c>
      <c r="S15" s="27">
        <v>32</v>
      </c>
      <c r="T15" s="27">
        <v>70</v>
      </c>
      <c r="U15" s="27">
        <v>38</v>
      </c>
      <c r="V15" s="215">
        <v>0.11082732641897786</v>
      </c>
      <c r="W15" s="215">
        <v>0.27474368243340375</v>
      </c>
      <c r="X15" s="215">
        <v>-0.1391145225296424</v>
      </c>
      <c r="Y15" s="215">
        <v>-4.3569760267677449E-2</v>
      </c>
      <c r="Z15" s="215">
        <v>6.5157479048314926E-2</v>
      </c>
      <c r="AA15" s="215">
        <v>-6.5828286905963429E-2</v>
      </c>
      <c r="AB15" s="215">
        <v>-0.26183141357665085</v>
      </c>
      <c r="AC15" s="215">
        <v>-0.35033883621549811</v>
      </c>
      <c r="AD15" s="215">
        <v>-0.26372002401697758</v>
      </c>
      <c r="AE15" s="215">
        <v>-0.20584549774642646</v>
      </c>
      <c r="AF15" s="215">
        <v>-0.1221245976897507</v>
      </c>
      <c r="AG15" s="215">
        <v>-0.21299948784973644</v>
      </c>
      <c r="AH15" s="215">
        <v>-5.4794520547945202E-2</v>
      </c>
      <c r="AI15" s="215">
        <v>-6.6666666666666652E-2</v>
      </c>
      <c r="AJ15" s="215">
        <v>-0.11594202898550721</v>
      </c>
      <c r="AK15" s="215">
        <v>0.10344827586206895</v>
      </c>
      <c r="AL15" s="215">
        <v>0.14754098360655732</v>
      </c>
      <c r="AM15" s="215">
        <v>0.1875</v>
      </c>
    </row>
    <row r="16" spans="1:42" ht="15" customHeight="1" outlineLevel="1" x14ac:dyDescent="0.2">
      <c r="A16" s="133" t="s">
        <v>110</v>
      </c>
      <c r="B16" s="27">
        <v>65.857249514244202</v>
      </c>
      <c r="C16" s="27">
        <v>49.24917472959649</v>
      </c>
      <c r="D16" s="27">
        <v>105.78550242194305</v>
      </c>
      <c r="E16" s="27">
        <v>39.269593999999998</v>
      </c>
      <c r="F16" s="27">
        <v>86.212972669658257</v>
      </c>
      <c r="G16" s="27">
        <v>53.243486202669189</v>
      </c>
      <c r="H16" s="27">
        <v>104</v>
      </c>
      <c r="I16" s="27">
        <v>29.998848198316754</v>
      </c>
      <c r="J16" s="27">
        <v>129.23341510555056</v>
      </c>
      <c r="K16" s="27">
        <v>76</v>
      </c>
      <c r="L16" s="27">
        <v>53.060332816663902</v>
      </c>
      <c r="M16" s="27">
        <v>53.639548914124127</v>
      </c>
      <c r="N16" s="27">
        <v>114</v>
      </c>
      <c r="O16" s="27">
        <v>58</v>
      </c>
      <c r="P16" s="27">
        <v>134</v>
      </c>
      <c r="Q16" s="27">
        <v>71</v>
      </c>
      <c r="R16" s="27">
        <v>141</v>
      </c>
      <c r="S16" s="27">
        <v>64</v>
      </c>
      <c r="T16" s="27">
        <v>146</v>
      </c>
      <c r="U16" s="27">
        <v>70</v>
      </c>
      <c r="V16" s="215">
        <v>0.60628485401691123</v>
      </c>
      <c r="W16" s="215">
        <v>-0.20263447630116782</v>
      </c>
      <c r="X16" s="215">
        <v>-0.18502090838701613</v>
      </c>
      <c r="Y16" s="215">
        <v>0.3558450897829295</v>
      </c>
      <c r="Z16" s="215">
        <v>0.20631497534015208</v>
      </c>
      <c r="AA16" s="215">
        <v>-0.43657242720494771</v>
      </c>
      <c r="AB16" s="215">
        <v>0.24262899139952454</v>
      </c>
      <c r="AC16" s="215">
        <v>1.5334306003209948</v>
      </c>
      <c r="AD16" s="215">
        <v>-0.58942249747615805</v>
      </c>
      <c r="AE16" s="215">
        <v>-0.29421646165626147</v>
      </c>
      <c r="AF16" s="215">
        <v>1.1484976431244256</v>
      </c>
      <c r="AG16" s="215">
        <v>8.1291718035453098E-2</v>
      </c>
      <c r="AH16" s="215">
        <v>0.17543859649122817</v>
      </c>
      <c r="AI16" s="215">
        <v>0.18965517241379315</v>
      </c>
      <c r="AJ16" s="215">
        <v>5.2238805970149294E-2</v>
      </c>
      <c r="AK16" s="215">
        <v>-7.0422535211267623E-2</v>
      </c>
      <c r="AL16" s="215">
        <v>3.5460992907801359E-2</v>
      </c>
      <c r="AM16" s="215">
        <v>6.0606060606060552E-2</v>
      </c>
    </row>
    <row r="17" spans="1:40" ht="15" customHeight="1" x14ac:dyDescent="0.2">
      <c r="A17" s="209" t="s">
        <v>282</v>
      </c>
      <c r="B17" s="121">
        <v>2822.7093974100007</v>
      </c>
      <c r="C17" s="121">
        <v>1847.2728270089276</v>
      </c>
      <c r="D17" s="121">
        <v>3371.0018000189771</v>
      </c>
      <c r="E17" s="121">
        <v>2270.1972690000002</v>
      </c>
      <c r="F17" s="121">
        <v>3862.9675476934435</v>
      </c>
      <c r="G17" s="121">
        <v>2232.3281240181959</v>
      </c>
      <c r="H17" s="121">
        <v>4178</v>
      </c>
      <c r="I17" s="121">
        <v>1940.7450965500275</v>
      </c>
      <c r="J17" s="121">
        <v>4175.2113938769817</v>
      </c>
      <c r="K17" s="121">
        <v>1825</v>
      </c>
      <c r="L17" s="121">
        <v>3398.1117157867416</v>
      </c>
      <c r="M17" s="121">
        <v>1137.3989731428335</v>
      </c>
      <c r="N17" s="121">
        <v>2583</v>
      </c>
      <c r="O17" s="121">
        <v>1051</v>
      </c>
      <c r="P17" s="121">
        <v>2422.1820257994341</v>
      </c>
      <c r="Q17" s="121">
        <v>1396</v>
      </c>
      <c r="R17" s="121">
        <v>3577.6770000000001</v>
      </c>
      <c r="S17" s="438">
        <v>1738</v>
      </c>
      <c r="T17" s="121">
        <v>3523</v>
      </c>
      <c r="U17" s="121">
        <v>1625</v>
      </c>
      <c r="V17" s="215">
        <v>0.19424330507138499</v>
      </c>
      <c r="W17" s="215">
        <v>0.22894530564598004</v>
      </c>
      <c r="X17" s="215">
        <v>0.14594051764424942</v>
      </c>
      <c r="Y17" s="215">
        <v>-1.6680993100870567E-2</v>
      </c>
      <c r="Z17" s="215">
        <v>8.1551928256467177E-2</v>
      </c>
      <c r="AA17" s="215">
        <v>-0.13061835503972341</v>
      </c>
      <c r="AB17" s="215">
        <v>-6.674500055093846E-4</v>
      </c>
      <c r="AC17" s="215">
        <v>-5.9639515130442522E-2</v>
      </c>
      <c r="AD17" s="215">
        <v>-0.18612223544653805</v>
      </c>
      <c r="AE17" s="215">
        <v>-0.37676768594913235</v>
      </c>
      <c r="AF17" s="215">
        <v>-0.23987195947677209</v>
      </c>
      <c r="AG17" s="215">
        <v>-7.5961887765818803E-2</v>
      </c>
      <c r="AH17" s="215">
        <v>-6.2260152613459518E-2</v>
      </c>
      <c r="AI17" s="215">
        <v>0.32825880114176975</v>
      </c>
      <c r="AJ17" s="215">
        <v>0.47704712605948685</v>
      </c>
      <c r="AK17" s="215">
        <v>0.24068767908309452</v>
      </c>
      <c r="AL17" s="215">
        <v>-1.528282178631557E-2</v>
      </c>
      <c r="AM17" s="215">
        <v>-7.407407407407407E-2</v>
      </c>
    </row>
    <row r="18" spans="1:40" s="52" customFormat="1" ht="15" customHeight="1" x14ac:dyDescent="0.2">
      <c r="A18" s="133" t="s">
        <v>632</v>
      </c>
      <c r="B18" s="27">
        <v>-329.06193112547288</v>
      </c>
      <c r="C18" s="27">
        <v>-203.15193411153487</v>
      </c>
      <c r="D18" s="27">
        <v>-420.81661439059729</v>
      </c>
      <c r="E18" s="27">
        <v>-223.02040782408574</v>
      </c>
      <c r="F18" s="27">
        <v>-412.01920314115807</v>
      </c>
      <c r="G18" s="27">
        <v>-149.5069503373266</v>
      </c>
      <c r="H18" s="27">
        <v>-20</v>
      </c>
      <c r="I18" s="27">
        <v>-8</v>
      </c>
      <c r="J18" s="27">
        <v>0</v>
      </c>
      <c r="K18" s="27">
        <v>0</v>
      </c>
      <c r="L18" s="27">
        <v>0</v>
      </c>
      <c r="M18" s="27">
        <v>0</v>
      </c>
      <c r="N18" s="27">
        <v>0</v>
      </c>
      <c r="O18" s="27">
        <v>0</v>
      </c>
      <c r="P18" s="27">
        <v>0</v>
      </c>
      <c r="Q18" s="27">
        <v>0</v>
      </c>
      <c r="R18" s="27">
        <v>0</v>
      </c>
      <c r="S18" s="27">
        <v>0</v>
      </c>
      <c r="T18" s="27">
        <v>0</v>
      </c>
      <c r="U18" s="27">
        <v>0</v>
      </c>
      <c r="V18" s="215">
        <v>0.27883712634670554</v>
      </c>
      <c r="W18" s="215">
        <v>9.7801056137829523E-2</v>
      </c>
      <c r="X18" s="215">
        <v>-2.0905570142897401E-2</v>
      </c>
      <c r="Y18" s="215">
        <v>-0.32962659428344854</v>
      </c>
      <c r="Z18" s="215">
        <v>-0.95145857317444504</v>
      </c>
      <c r="AA18" s="215">
        <v>-0.94649078198739311</v>
      </c>
      <c r="AB18" s="215">
        <v>-1</v>
      </c>
      <c r="AC18" s="215">
        <v>-1</v>
      </c>
      <c r="AD18" s="215"/>
      <c r="AE18" s="215"/>
      <c r="AF18" s="215"/>
      <c r="AG18" s="215"/>
      <c r="AH18" s="215"/>
      <c r="AI18" s="215"/>
      <c r="AJ18" s="215"/>
      <c r="AK18" s="215"/>
      <c r="AL18" s="215"/>
      <c r="AM18" s="215"/>
      <c r="AN18" s="361"/>
    </row>
    <row r="19" spans="1:40" s="52" customFormat="1" ht="15" customHeight="1" x14ac:dyDescent="0.2">
      <c r="A19" s="209" t="s">
        <v>282</v>
      </c>
      <c r="B19" s="121">
        <v>2493.647466284528</v>
      </c>
      <c r="C19" s="121">
        <v>1644.1208928973927</v>
      </c>
      <c r="D19" s="121">
        <v>2950.1851856283797</v>
      </c>
      <c r="E19" s="121">
        <v>2047.1768611759144</v>
      </c>
      <c r="F19" s="121">
        <v>3450.9483445522856</v>
      </c>
      <c r="G19" s="121">
        <v>2082.8211736808694</v>
      </c>
      <c r="H19" s="121">
        <v>4158</v>
      </c>
      <c r="I19" s="121">
        <v>1932.7450965500275</v>
      </c>
      <c r="J19" s="121">
        <v>4175.2113938769817</v>
      </c>
      <c r="K19" s="121">
        <v>1825</v>
      </c>
      <c r="L19" s="121">
        <v>3398.1117157867416</v>
      </c>
      <c r="M19" s="121">
        <v>1137.3989731428335</v>
      </c>
      <c r="N19" s="121">
        <v>2583</v>
      </c>
      <c r="O19" s="121">
        <v>1051</v>
      </c>
      <c r="P19" s="121">
        <v>2422.1820257994341</v>
      </c>
      <c r="Q19" s="121">
        <v>1396</v>
      </c>
      <c r="R19" s="121">
        <v>3577.6770000000001</v>
      </c>
      <c r="S19" s="438">
        <v>1738</v>
      </c>
      <c r="T19" s="121">
        <v>3523</v>
      </c>
      <c r="U19" s="121">
        <v>1625</v>
      </c>
      <c r="V19" s="215">
        <v>0.18308029724188768</v>
      </c>
      <c r="W19" s="215">
        <v>0.24514983662072831</v>
      </c>
      <c r="X19" s="215">
        <v>0.16973956799842216</v>
      </c>
      <c r="Y19" s="215">
        <v>1.7411447530957691E-2</v>
      </c>
      <c r="Z19" s="215">
        <v>0.20488618920183943</v>
      </c>
      <c r="AA19" s="215">
        <v>-7.2054230592259461E-2</v>
      </c>
      <c r="AB19" s="215">
        <v>4.1393443667585572E-3</v>
      </c>
      <c r="AC19" s="215">
        <v>-5.5747184014257045E-2</v>
      </c>
      <c r="AD19" s="215">
        <v>-0.18612223544653805</v>
      </c>
      <c r="AE19" s="215">
        <v>-0.37676768594913235</v>
      </c>
      <c r="AF19" s="215">
        <v>-0.23987195947677209</v>
      </c>
      <c r="AG19" s="215">
        <v>-7.5961887765818803E-2</v>
      </c>
      <c r="AH19" s="215">
        <v>-6.2260152613459518E-2</v>
      </c>
      <c r="AI19" s="215">
        <v>0.32825880114176975</v>
      </c>
      <c r="AJ19" s="215">
        <v>0.47704712605948685</v>
      </c>
      <c r="AK19" s="215">
        <v>0.24068767908309452</v>
      </c>
      <c r="AL19" s="215">
        <v>-1.528282178631557E-2</v>
      </c>
      <c r="AM19" s="215">
        <v>-7.407407407407407E-2</v>
      </c>
      <c r="AN19" s="361"/>
    </row>
    <row r="20" spans="1:40" s="52" customFormat="1" ht="15" customHeight="1" outlineLevel="1" x14ac:dyDescent="0.2">
      <c r="A20" s="133" t="s">
        <v>106</v>
      </c>
      <c r="B20" s="27">
        <v>66.200307565061479</v>
      </c>
      <c r="C20" s="27">
        <v>23.598258539508343</v>
      </c>
      <c r="D20" s="27">
        <v>51.722922494928582</v>
      </c>
      <c r="E20" s="27">
        <v>25.154343000000004</v>
      </c>
      <c r="F20" s="27">
        <v>54.328860871075129</v>
      </c>
      <c r="G20" s="27">
        <v>30.107160990386159</v>
      </c>
      <c r="H20" s="27">
        <v>40</v>
      </c>
      <c r="I20" s="27">
        <v>38.014780832170331</v>
      </c>
      <c r="J20" s="27">
        <v>49.493202556167148</v>
      </c>
      <c r="K20" s="27">
        <v>10</v>
      </c>
      <c r="L20" s="27">
        <v>42.220447357582032</v>
      </c>
      <c r="M20" s="27">
        <v>14.404258</v>
      </c>
      <c r="N20" s="27">
        <v>23</v>
      </c>
      <c r="O20" s="27">
        <v>10</v>
      </c>
      <c r="P20" s="27">
        <v>19</v>
      </c>
      <c r="Q20" s="27">
        <v>10</v>
      </c>
      <c r="R20" s="27">
        <v>22</v>
      </c>
      <c r="S20" s="27">
        <v>20</v>
      </c>
      <c r="T20" s="27">
        <v>39</v>
      </c>
      <c r="U20" s="27">
        <v>21</v>
      </c>
      <c r="V20" s="215">
        <v>-0.21869060133753249</v>
      </c>
      <c r="W20" s="215">
        <v>6.5940648030720306E-2</v>
      </c>
      <c r="X20" s="215">
        <v>5.0382659185626233E-2</v>
      </c>
      <c r="Y20" s="215">
        <v>0.19689713185457292</v>
      </c>
      <c r="Z20" s="215">
        <v>-0.26374307580418754</v>
      </c>
      <c r="AA20" s="215">
        <v>0.26264913667247591</v>
      </c>
      <c r="AB20" s="215">
        <v>0.23733006390417866</v>
      </c>
      <c r="AC20" s="215">
        <v>-0.73694442579720421</v>
      </c>
      <c r="AD20" s="215">
        <v>-0.14694452617673426</v>
      </c>
      <c r="AE20" s="215">
        <v>0.44042580000000009</v>
      </c>
      <c r="AF20" s="215">
        <v>-0.45524025822834835</v>
      </c>
      <c r="AG20" s="215">
        <v>-0.30576083821881006</v>
      </c>
      <c r="AH20" s="215">
        <v>-0.17391304347826086</v>
      </c>
      <c r="AI20" s="215">
        <v>0</v>
      </c>
      <c r="AJ20" s="215">
        <v>0.15789473684210531</v>
      </c>
      <c r="AK20" s="215">
        <v>1</v>
      </c>
      <c r="AL20" s="215">
        <v>0.77272727272727271</v>
      </c>
      <c r="AM20" s="215">
        <v>5.0000000000000044E-2</v>
      </c>
      <c r="AN20" s="361"/>
    </row>
    <row r="21" spans="1:40" s="52" customFormat="1" ht="15" customHeight="1" outlineLevel="1" x14ac:dyDescent="0.2">
      <c r="A21" s="133" t="s">
        <v>107</v>
      </c>
      <c r="B21" s="27">
        <v>40.10353660336046</v>
      </c>
      <c r="C21" s="27">
        <v>11.414991623981813</v>
      </c>
      <c r="D21" s="27">
        <v>25.180408071351724</v>
      </c>
      <c r="E21" s="27">
        <v>10.549538999999999</v>
      </c>
      <c r="F21" s="27">
        <v>41.507729213875791</v>
      </c>
      <c r="G21" s="27">
        <v>6.7359157477281277</v>
      </c>
      <c r="H21" s="27">
        <v>43</v>
      </c>
      <c r="I21" s="27">
        <v>19.775707912054145</v>
      </c>
      <c r="J21" s="27">
        <v>30.677314267878167</v>
      </c>
      <c r="K21" s="27">
        <v>5</v>
      </c>
      <c r="L21" s="27">
        <v>15.694010719955187</v>
      </c>
      <c r="M21" s="27">
        <v>23.97</v>
      </c>
      <c r="N21" s="27">
        <v>37</v>
      </c>
      <c r="O21" s="27">
        <v>17</v>
      </c>
      <c r="P21" s="27">
        <v>36</v>
      </c>
      <c r="Q21" s="27">
        <v>19</v>
      </c>
      <c r="R21" s="27">
        <v>44</v>
      </c>
      <c r="S21" s="27">
        <v>42</v>
      </c>
      <c r="T21" s="27">
        <v>87</v>
      </c>
      <c r="U21" s="27">
        <v>42</v>
      </c>
      <c r="V21" s="215">
        <v>-0.37211502515611694</v>
      </c>
      <c r="W21" s="215">
        <v>-7.5817193081734735E-2</v>
      </c>
      <c r="X21" s="215">
        <v>0.64841368321985215</v>
      </c>
      <c r="Y21" s="215">
        <v>-0.36149667319793521</v>
      </c>
      <c r="Z21" s="215">
        <v>3.5951636343077853E-2</v>
      </c>
      <c r="AA21" s="215" t="s">
        <v>67</v>
      </c>
      <c r="AB21" s="215">
        <v>-0.28657408679353102</v>
      </c>
      <c r="AC21" s="215">
        <v>-0.74716455045574959</v>
      </c>
      <c r="AD21" s="215">
        <v>-0.48841640493971827</v>
      </c>
      <c r="AE21" s="215">
        <v>3.7939999999999996</v>
      </c>
      <c r="AF21" s="215">
        <v>1.3575872770976196</v>
      </c>
      <c r="AG21" s="215">
        <v>-0.29078014184397161</v>
      </c>
      <c r="AH21" s="215">
        <v>-2.7027027027026973E-2</v>
      </c>
      <c r="AI21" s="215">
        <v>0.11764705882352944</v>
      </c>
      <c r="AJ21" s="215">
        <v>0.22222222222222232</v>
      </c>
      <c r="AK21" s="215">
        <v>1.2105263157894739</v>
      </c>
      <c r="AL21" s="215">
        <v>0.97727272727272729</v>
      </c>
      <c r="AM21" s="215">
        <v>0</v>
      </c>
      <c r="AN21" s="361"/>
    </row>
    <row r="22" spans="1:40" s="52" customFormat="1" ht="15" customHeight="1" outlineLevel="1" x14ac:dyDescent="0.2">
      <c r="A22" s="133" t="s">
        <v>108</v>
      </c>
      <c r="B22" s="27">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15"/>
      <c r="W22" s="215"/>
      <c r="X22" s="215"/>
      <c r="Y22" s="215"/>
      <c r="Z22" s="215"/>
      <c r="AA22" s="215"/>
      <c r="AB22" s="215"/>
      <c r="AC22" s="215"/>
      <c r="AD22" s="215"/>
      <c r="AE22" s="215"/>
      <c r="AF22" s="215"/>
      <c r="AG22" s="215"/>
      <c r="AH22" s="215"/>
      <c r="AI22" s="215"/>
      <c r="AJ22" s="215"/>
      <c r="AK22" s="215"/>
      <c r="AL22" s="215"/>
      <c r="AM22" s="215"/>
      <c r="AN22" s="361"/>
    </row>
    <row r="23" spans="1:40" s="52" customFormat="1" outlineLevel="1" x14ac:dyDescent="0.2">
      <c r="A23" s="133" t="s">
        <v>420</v>
      </c>
      <c r="B23" s="27">
        <v>355.50036538015513</v>
      </c>
      <c r="C23" s="27">
        <v>285.92107496444083</v>
      </c>
      <c r="D23" s="27">
        <v>636.92885161616516</v>
      </c>
      <c r="E23" s="27">
        <v>361.339</v>
      </c>
      <c r="F23" s="27">
        <v>739.32249457273815</v>
      </c>
      <c r="G23" s="27">
        <v>181.33535747909937</v>
      </c>
      <c r="H23" s="27">
        <v>518</v>
      </c>
      <c r="I23" s="27">
        <v>186.5528912607223</v>
      </c>
      <c r="J23" s="27">
        <v>182.66532768940675</v>
      </c>
      <c r="K23" s="27">
        <v>314</v>
      </c>
      <c r="L23" s="27">
        <v>327.12312826478171</v>
      </c>
      <c r="M23" s="27">
        <v>196.35599999999999</v>
      </c>
      <c r="N23" s="27">
        <v>262</v>
      </c>
      <c r="O23" s="27">
        <v>237</v>
      </c>
      <c r="P23" s="27">
        <v>0</v>
      </c>
      <c r="Q23" s="27"/>
      <c r="R23" s="27">
        <v>0</v>
      </c>
      <c r="S23" s="27">
        <v>0</v>
      </c>
      <c r="T23" s="27">
        <v>0</v>
      </c>
      <c r="U23" s="27">
        <v>0</v>
      </c>
      <c r="V23" s="215" t="s">
        <v>67</v>
      </c>
      <c r="W23" s="215" t="s">
        <v>67</v>
      </c>
      <c r="X23" s="215" t="s">
        <v>67</v>
      </c>
      <c r="Y23" s="215" t="s">
        <v>67</v>
      </c>
      <c r="Z23" s="215" t="s">
        <v>67</v>
      </c>
      <c r="AA23" s="215">
        <v>2.8772843058057829E-2</v>
      </c>
      <c r="AB23" s="215">
        <v>-0.64736423225983253</v>
      </c>
      <c r="AC23" s="215">
        <v>0.68316876719514563</v>
      </c>
      <c r="AD23" s="215">
        <v>0.79083317235223971</v>
      </c>
      <c r="AE23" s="215">
        <v>-0.37466242038216557</v>
      </c>
      <c r="AF23" s="215">
        <v>-0.19907833668082742</v>
      </c>
      <c r="AG23" s="215">
        <v>0.20699138299822772</v>
      </c>
      <c r="AH23" s="215">
        <v>-1</v>
      </c>
      <c r="AI23" s="215">
        <v>3.7974683544303778E-2</v>
      </c>
      <c r="AJ23" s="215">
        <v>0</v>
      </c>
      <c r="AK23" s="215"/>
      <c r="AL23" s="215"/>
      <c r="AM23" s="215"/>
      <c r="AN23" s="361"/>
    </row>
    <row r="24" spans="1:40" s="52" customFormat="1" ht="15" customHeight="1" outlineLevel="1" x14ac:dyDescent="0.2">
      <c r="A24" s="133" t="s">
        <v>437</v>
      </c>
      <c r="B24" s="27"/>
      <c r="C24" s="27"/>
      <c r="D24" s="27"/>
      <c r="E24" s="27"/>
      <c r="F24" s="27"/>
      <c r="G24" s="27"/>
      <c r="H24" s="27"/>
      <c r="I24" s="27"/>
      <c r="J24" s="27"/>
      <c r="K24" s="27"/>
      <c r="L24" s="27"/>
      <c r="M24" s="27"/>
      <c r="N24" s="27"/>
      <c r="O24" s="27"/>
      <c r="P24" s="27">
        <v>0</v>
      </c>
      <c r="Q24" s="27"/>
      <c r="R24" s="27">
        <v>0</v>
      </c>
      <c r="S24" s="27">
        <v>0</v>
      </c>
      <c r="T24" s="27">
        <v>0</v>
      </c>
      <c r="U24" s="27">
        <v>0</v>
      </c>
      <c r="V24" s="215"/>
      <c r="W24" s="215"/>
      <c r="X24" s="215"/>
      <c r="Y24" s="215"/>
      <c r="Z24" s="215"/>
      <c r="AA24" s="215"/>
      <c r="AB24" s="215"/>
      <c r="AC24" s="215"/>
      <c r="AD24" s="215"/>
      <c r="AE24" s="215"/>
      <c r="AF24" s="215"/>
      <c r="AG24" s="215"/>
      <c r="AH24" s="215"/>
      <c r="AI24" s="215"/>
      <c r="AJ24" s="215">
        <v>0</v>
      </c>
      <c r="AK24" s="215"/>
      <c r="AL24" s="215"/>
      <c r="AM24" s="215"/>
      <c r="AN24" s="361"/>
    </row>
    <row r="25" spans="1:40" s="52" customFormat="1" ht="15" customHeight="1" outlineLevel="1" x14ac:dyDescent="0.2">
      <c r="A25" s="133" t="s">
        <v>416</v>
      </c>
      <c r="B25" s="27"/>
      <c r="C25" s="27"/>
      <c r="D25" s="27"/>
      <c r="E25" s="27"/>
      <c r="F25" s="27"/>
      <c r="G25" s="27"/>
      <c r="H25" s="27"/>
      <c r="I25" s="27"/>
      <c r="J25" s="27"/>
      <c r="K25" s="27"/>
      <c r="L25" s="27"/>
      <c r="M25" s="27"/>
      <c r="N25" s="27"/>
      <c r="O25" s="27"/>
      <c r="P25" s="27">
        <v>280.47607420056573</v>
      </c>
      <c r="Q25" s="27">
        <v>34</v>
      </c>
      <c r="R25" s="27">
        <v>63.082239649999998</v>
      </c>
      <c r="S25" s="27">
        <v>11</v>
      </c>
      <c r="T25" s="27">
        <v>21</v>
      </c>
      <c r="U25" s="27">
        <v>29</v>
      </c>
      <c r="V25" s="215"/>
      <c r="W25" s="215"/>
      <c r="X25" s="215"/>
      <c r="Y25" s="215"/>
      <c r="Z25" s="215"/>
      <c r="AA25" s="215"/>
      <c r="AB25" s="215"/>
      <c r="AC25" s="215"/>
      <c r="AD25" s="215"/>
      <c r="AE25" s="215"/>
      <c r="AF25" s="215"/>
      <c r="AG25" s="215"/>
      <c r="AH25" s="215"/>
      <c r="AI25" s="215"/>
      <c r="AJ25" s="215">
        <v>-0.775088695783404</v>
      </c>
      <c r="AK25" s="215">
        <v>-0.67647058823529416</v>
      </c>
      <c r="AL25" s="215">
        <v>-0.66710122981500697</v>
      </c>
      <c r="AM25" s="215">
        <v>1.6363636363636362</v>
      </c>
      <c r="AN25" s="361"/>
    </row>
    <row r="26" spans="1:40" s="52" customFormat="1" ht="15" customHeight="1" outlineLevel="1" x14ac:dyDescent="0.2">
      <c r="A26" s="133" t="s">
        <v>417</v>
      </c>
      <c r="B26" s="27"/>
      <c r="C26" s="27"/>
      <c r="D26" s="27"/>
      <c r="E26" s="27"/>
      <c r="F26" s="27"/>
      <c r="G26" s="27"/>
      <c r="H26" s="27"/>
      <c r="I26" s="27"/>
      <c r="J26" s="27"/>
      <c r="K26" s="27"/>
      <c r="L26" s="27"/>
      <c r="M26" s="27"/>
      <c r="N26" s="27"/>
      <c r="O26" s="27"/>
      <c r="P26" s="27">
        <v>79</v>
      </c>
      <c r="Q26" s="27"/>
      <c r="R26" s="27">
        <v>93</v>
      </c>
      <c r="S26" s="27"/>
      <c r="T26" s="27"/>
      <c r="U26" s="27"/>
      <c r="V26" s="215"/>
      <c r="W26" s="215"/>
      <c r="X26" s="215"/>
      <c r="Y26" s="215"/>
      <c r="Z26" s="215"/>
      <c r="AA26" s="215"/>
      <c r="AB26" s="215"/>
      <c r="AC26" s="215"/>
      <c r="AD26" s="215"/>
      <c r="AE26" s="215"/>
      <c r="AF26" s="215"/>
      <c r="AG26" s="215"/>
      <c r="AH26" s="215"/>
      <c r="AI26" s="215"/>
      <c r="AJ26" s="215">
        <v>0.17721518987341778</v>
      </c>
      <c r="AK26" s="215"/>
      <c r="AL26" s="215">
        <v>-1</v>
      </c>
      <c r="AM26" s="215"/>
      <c r="AN26" s="361"/>
    </row>
    <row r="27" spans="1:40" s="52" customFormat="1" ht="15" customHeight="1" outlineLevel="1" x14ac:dyDescent="0.2">
      <c r="A27" s="133" t="s">
        <v>347</v>
      </c>
      <c r="B27" s="27">
        <v>187.16109054885152</v>
      </c>
      <c r="C27" s="27">
        <v>101.63904832534091</v>
      </c>
      <c r="D27" s="27">
        <v>220.06706843446628</v>
      </c>
      <c r="E27" s="27">
        <v>93.715942999999996</v>
      </c>
      <c r="F27" s="27">
        <v>204.95513523819815</v>
      </c>
      <c r="G27" s="27">
        <v>129.73756153733791</v>
      </c>
      <c r="H27" s="27">
        <v>192</v>
      </c>
      <c r="I27" s="27">
        <v>153.48333151127383</v>
      </c>
      <c r="J27" s="27">
        <v>215.82897781725947</v>
      </c>
      <c r="K27" s="27">
        <v>56</v>
      </c>
      <c r="L27" s="27">
        <v>163.31931410799046</v>
      </c>
      <c r="M27" s="27">
        <v>48.997692000000001</v>
      </c>
      <c r="N27" s="27">
        <v>47</v>
      </c>
      <c r="O27" s="27">
        <v>5</v>
      </c>
      <c r="P27" s="27">
        <v>11</v>
      </c>
      <c r="Q27" s="27">
        <v>6</v>
      </c>
      <c r="R27" s="27">
        <v>10</v>
      </c>
      <c r="S27" s="27">
        <v>23</v>
      </c>
      <c r="T27" s="27">
        <v>47</v>
      </c>
      <c r="U27" s="27">
        <v>28</v>
      </c>
      <c r="V27" s="215">
        <v>0.17581633975906907</v>
      </c>
      <c r="W27" s="215">
        <v>-7.7953360011592143E-2</v>
      </c>
      <c r="X27" s="215">
        <v>-6.8669671040618718E-2</v>
      </c>
      <c r="Y27" s="215">
        <v>0.38437022969867485</v>
      </c>
      <c r="Z27" s="215">
        <v>-6.3209615231849314E-2</v>
      </c>
      <c r="AA27" s="215">
        <v>0.18302926070567449</v>
      </c>
      <c r="AB27" s="215">
        <v>0.12410925946489315</v>
      </c>
      <c r="AC27" s="215">
        <v>-0.63513953307765791</v>
      </c>
      <c r="AD27" s="215">
        <v>-0.24329292683639769</v>
      </c>
      <c r="AE27" s="215">
        <v>-0.12504121428571424</v>
      </c>
      <c r="AF27" s="215">
        <v>-0.71222019724548602</v>
      </c>
      <c r="AG27" s="215">
        <v>-0.89795437711637516</v>
      </c>
      <c r="AH27" s="215">
        <v>-0.76595744680851063</v>
      </c>
      <c r="AI27" s="215">
        <v>0.19999999999999996</v>
      </c>
      <c r="AJ27" s="215">
        <v>-9.0909090909090939E-2</v>
      </c>
      <c r="AK27" s="215">
        <v>2.8333333333333335</v>
      </c>
      <c r="AL27" s="215">
        <v>3.7</v>
      </c>
      <c r="AM27" s="215">
        <v>0.21739130434782616</v>
      </c>
      <c r="AN27" s="361"/>
    </row>
    <row r="28" spans="1:40" s="52" customFormat="1" ht="15" customHeight="1" outlineLevel="1" x14ac:dyDescent="0.2">
      <c r="A28" s="133" t="s">
        <v>348</v>
      </c>
      <c r="B28" s="27">
        <v>9</v>
      </c>
      <c r="C28" s="27">
        <v>3</v>
      </c>
      <c r="D28" s="27">
        <v>9</v>
      </c>
      <c r="E28" s="27">
        <v>4</v>
      </c>
      <c r="F28" s="27">
        <v>5</v>
      </c>
      <c r="G28" s="27">
        <v>3</v>
      </c>
      <c r="H28" s="27">
        <v>4</v>
      </c>
      <c r="I28" s="27">
        <v>2</v>
      </c>
      <c r="J28" s="27">
        <v>4</v>
      </c>
      <c r="K28" s="27">
        <v>2</v>
      </c>
      <c r="L28" s="27">
        <v>4</v>
      </c>
      <c r="M28" s="27">
        <v>0</v>
      </c>
      <c r="N28" s="27">
        <v>0</v>
      </c>
      <c r="O28" s="27">
        <v>0</v>
      </c>
      <c r="P28" s="27">
        <v>0</v>
      </c>
      <c r="Q28" s="27">
        <v>0</v>
      </c>
      <c r="R28" s="27">
        <v>0</v>
      </c>
      <c r="S28" s="27">
        <v>0</v>
      </c>
      <c r="T28" s="27">
        <v>0</v>
      </c>
      <c r="U28" s="27">
        <v>0</v>
      </c>
      <c r="V28" s="215">
        <v>0</v>
      </c>
      <c r="W28" s="215">
        <v>0.33333333333333326</v>
      </c>
      <c r="X28" s="215">
        <v>-0.44444444444444442</v>
      </c>
      <c r="Y28" s="215">
        <v>-0.25</v>
      </c>
      <c r="Z28" s="215">
        <v>-0.19999999999999996</v>
      </c>
      <c r="AA28" s="215">
        <v>-0.33333333333333337</v>
      </c>
      <c r="AB28" s="215">
        <v>0</v>
      </c>
      <c r="AC28" s="215">
        <v>0</v>
      </c>
      <c r="AD28" s="215">
        <v>0</v>
      </c>
      <c r="AE28" s="215">
        <v>-1</v>
      </c>
      <c r="AF28" s="215">
        <v>-1</v>
      </c>
      <c r="AG28" s="215" t="s">
        <v>67</v>
      </c>
      <c r="AH28" s="215" t="s">
        <v>67</v>
      </c>
      <c r="AI28" s="215" t="s">
        <v>67</v>
      </c>
      <c r="AJ28" s="215" t="s">
        <v>67</v>
      </c>
      <c r="AK28" s="215"/>
      <c r="AL28" s="215"/>
      <c r="AM28" s="215"/>
      <c r="AN28" s="361"/>
    </row>
    <row r="29" spans="1:40" s="52" customFormat="1" ht="15" customHeight="1" outlineLevel="1" x14ac:dyDescent="0.2">
      <c r="A29" s="133" t="s">
        <v>349</v>
      </c>
      <c r="B29" s="27">
        <v>61.387995929853467</v>
      </c>
      <c r="C29" s="27">
        <v>39.274102588772401</v>
      </c>
      <c r="D29" s="27">
        <v>86.736763472658168</v>
      </c>
      <c r="E29" s="27">
        <v>50.00756100000001</v>
      </c>
      <c r="F29" s="27">
        <v>103.7719370936824</v>
      </c>
      <c r="G29" s="27">
        <v>52.090467016590814</v>
      </c>
      <c r="H29" s="27">
        <v>14</v>
      </c>
      <c r="I29" s="27">
        <v>84.311709057610074</v>
      </c>
      <c r="J29" s="27">
        <v>82.296992620629965</v>
      </c>
      <c r="K29" s="27">
        <v>6</v>
      </c>
      <c r="L29" s="27">
        <v>81.747025189343248</v>
      </c>
      <c r="M29" s="27">
        <v>12.051855</v>
      </c>
      <c r="N29" s="27">
        <v>31</v>
      </c>
      <c r="O29" s="27">
        <v>15</v>
      </c>
      <c r="P29" s="27">
        <v>28</v>
      </c>
      <c r="Q29" s="27">
        <v>15</v>
      </c>
      <c r="R29" s="27">
        <v>30</v>
      </c>
      <c r="S29" s="27">
        <v>22</v>
      </c>
      <c r="T29" s="27">
        <v>45</v>
      </c>
      <c r="U29" s="27">
        <v>22</v>
      </c>
      <c r="V29" s="215">
        <v>0.41292710665730326</v>
      </c>
      <c r="W29" s="215">
        <v>0.2732960832641933</v>
      </c>
      <c r="X29" s="215">
        <v>0.19640084479742193</v>
      </c>
      <c r="Y29" s="215">
        <v>4.1651821743332151E-2</v>
      </c>
      <c r="Z29" s="215">
        <v>-0.8650887668468481</v>
      </c>
      <c r="AA29" s="215">
        <v>0.61856312462617757</v>
      </c>
      <c r="AB29" s="215">
        <v>4.8783566157592828</v>
      </c>
      <c r="AC29" s="215">
        <v>-0.92883550734453491</v>
      </c>
      <c r="AD29" s="215">
        <v>-6.6827160236819783E-3</v>
      </c>
      <c r="AE29" s="215">
        <v>1.0086425000000001</v>
      </c>
      <c r="AF29" s="215">
        <v>-0.62078130759868633</v>
      </c>
      <c r="AG29" s="215">
        <v>0.24462167857147299</v>
      </c>
      <c r="AH29" s="215">
        <v>-9.6774193548387122E-2</v>
      </c>
      <c r="AI29" s="215">
        <v>0</v>
      </c>
      <c r="AJ29" s="215">
        <v>7.1428571428571397E-2</v>
      </c>
      <c r="AK29" s="215">
        <v>0.46666666666666656</v>
      </c>
      <c r="AL29" s="215">
        <v>0.5</v>
      </c>
      <c r="AM29" s="215">
        <v>0</v>
      </c>
      <c r="AN29" s="361"/>
    </row>
    <row r="30" spans="1:40" s="52" customFormat="1" ht="15" customHeight="1" outlineLevel="1" x14ac:dyDescent="0.2">
      <c r="A30" s="133" t="s">
        <v>109</v>
      </c>
      <c r="B30" s="27">
        <v>10.794556076961843</v>
      </c>
      <c r="C30" s="27">
        <v>2.128871678624551</v>
      </c>
      <c r="D30" s="27">
        <v>4.1476883133958085</v>
      </c>
      <c r="E30" s="27">
        <v>4.3059390000000004</v>
      </c>
      <c r="F30" s="27">
        <v>5.3592679866448325</v>
      </c>
      <c r="G30" s="27">
        <v>2.9088994133306834</v>
      </c>
      <c r="H30" s="27">
        <v>3</v>
      </c>
      <c r="I30" s="27">
        <v>3.1153310744583615</v>
      </c>
      <c r="J30" s="27">
        <v>4.0602062772275787</v>
      </c>
      <c r="K30" s="27">
        <v>0</v>
      </c>
      <c r="L30" s="27">
        <v>3.8446913902696118</v>
      </c>
      <c r="M30" s="27">
        <v>0.88500000000000001</v>
      </c>
      <c r="N30" s="27">
        <v>2</v>
      </c>
      <c r="O30" s="27">
        <v>1</v>
      </c>
      <c r="P30" s="27">
        <v>2</v>
      </c>
      <c r="Q30" s="27">
        <v>1</v>
      </c>
      <c r="R30" s="27">
        <v>3</v>
      </c>
      <c r="S30" s="27">
        <v>0</v>
      </c>
      <c r="T30" s="27">
        <v>0</v>
      </c>
      <c r="U30" s="27">
        <v>0</v>
      </c>
      <c r="V30" s="215">
        <v>-0.61576110366891657</v>
      </c>
      <c r="W30" s="215">
        <v>1.0226390548734425</v>
      </c>
      <c r="X30" s="215">
        <v>0.29210962389241724</v>
      </c>
      <c r="Y30" s="215">
        <v>-0.32444481602487096</v>
      </c>
      <c r="Z30" s="215">
        <v>-0.44022205878192167</v>
      </c>
      <c r="AA30" s="215">
        <v>7.0965554938633879E-2</v>
      </c>
      <c r="AB30" s="215">
        <v>0.35340209240919296</v>
      </c>
      <c r="AC30" s="215">
        <v>-1</v>
      </c>
      <c r="AD30" s="215">
        <v>-5.3079787637076992E-2</v>
      </c>
      <c r="AE30" s="215"/>
      <c r="AF30" s="215"/>
      <c r="AG30" s="215"/>
      <c r="AH30" s="215"/>
      <c r="AI30" s="215"/>
      <c r="AJ30" s="215"/>
      <c r="AK30" s="215">
        <v>-1</v>
      </c>
      <c r="AL30" s="215">
        <v>-1</v>
      </c>
      <c r="AM30" s="215"/>
    </row>
    <row r="31" spans="1:40" s="52" customFormat="1" ht="15" customHeight="1" outlineLevel="1" x14ac:dyDescent="0.2">
      <c r="A31" s="133" t="s">
        <v>110</v>
      </c>
      <c r="B31" s="27">
        <v>9.1427504857558031</v>
      </c>
      <c r="C31" s="27">
        <v>7.7508252704035092</v>
      </c>
      <c r="D31" s="27">
        <v>12.214497578056944</v>
      </c>
      <c r="E31" s="27">
        <v>6.7304060000000003</v>
      </c>
      <c r="F31" s="27">
        <v>28.787027330341736</v>
      </c>
      <c r="G31" s="27">
        <v>9.7565137973308094</v>
      </c>
      <c r="H31" s="27">
        <v>5</v>
      </c>
      <c r="I31" s="27">
        <v>11.001151801683246</v>
      </c>
      <c r="J31" s="27">
        <v>11.766584894449428</v>
      </c>
      <c r="K31" s="27">
        <v>8</v>
      </c>
      <c r="L31" s="27">
        <v>30.939667183336098</v>
      </c>
      <c r="M31" s="27">
        <v>5.825081</v>
      </c>
      <c r="N31" s="27">
        <v>12</v>
      </c>
      <c r="O31" s="27">
        <v>6</v>
      </c>
      <c r="P31" s="27">
        <v>9</v>
      </c>
      <c r="Q31" s="27">
        <v>4</v>
      </c>
      <c r="R31" s="27">
        <v>9</v>
      </c>
      <c r="S31" s="27">
        <v>6</v>
      </c>
      <c r="T31" s="27">
        <v>12</v>
      </c>
      <c r="U31" s="27">
        <v>6</v>
      </c>
      <c r="V31" s="215">
        <v>0.33597625759194161</v>
      </c>
      <c r="W31" s="215">
        <v>-0.13165298336681319</v>
      </c>
      <c r="X31" s="215">
        <v>1.3567917670274827</v>
      </c>
      <c r="Y31" s="215">
        <v>0.44961742238593172</v>
      </c>
      <c r="Z31" s="215">
        <v>-0.82631065227322154</v>
      </c>
      <c r="AA31" s="215">
        <v>0.12756995277277672</v>
      </c>
      <c r="AB31" s="215">
        <v>1.3533169788898856</v>
      </c>
      <c r="AC31" s="215">
        <v>-0.27280341693167531</v>
      </c>
      <c r="AD31" s="215">
        <v>1.6294517449945105</v>
      </c>
      <c r="AE31" s="215">
        <v>-0.27186487500000001</v>
      </c>
      <c r="AF31" s="215">
        <v>-0.61214838127078752</v>
      </c>
      <c r="AG31" s="215">
        <v>3.0028595310520156E-2</v>
      </c>
      <c r="AH31" s="215">
        <v>-0.25</v>
      </c>
      <c r="AI31" s="215">
        <v>-0.33333333333333337</v>
      </c>
      <c r="AJ31" s="215">
        <v>0</v>
      </c>
      <c r="AK31" s="215">
        <v>0.5</v>
      </c>
      <c r="AL31" s="215">
        <v>0.33333333333333326</v>
      </c>
      <c r="AM31" s="215">
        <v>0</v>
      </c>
    </row>
    <row r="32" spans="1:40" s="52" customFormat="1" ht="15" customHeight="1" x14ac:dyDescent="0.2">
      <c r="A32" s="171" t="s">
        <v>421</v>
      </c>
      <c r="B32" s="121">
        <v>739.29060258999959</v>
      </c>
      <c r="C32" s="121">
        <v>474.72717299107234</v>
      </c>
      <c r="D32" s="121">
        <v>1045.9981999810227</v>
      </c>
      <c r="E32" s="121">
        <v>555.80273099999999</v>
      </c>
      <c r="F32" s="121">
        <v>1183.0324523065563</v>
      </c>
      <c r="G32" s="121">
        <v>415.67187598180385</v>
      </c>
      <c r="H32" s="121">
        <v>819</v>
      </c>
      <c r="I32" s="121">
        <v>498.25490344997229</v>
      </c>
      <c r="J32" s="121">
        <v>580.78860612301855</v>
      </c>
      <c r="K32" s="121">
        <v>401</v>
      </c>
      <c r="L32" s="121">
        <v>668.88828421325843</v>
      </c>
      <c r="M32" s="121">
        <v>302.48988599999996</v>
      </c>
      <c r="N32" s="121">
        <v>414</v>
      </c>
      <c r="O32" s="121">
        <v>291</v>
      </c>
      <c r="P32" s="121">
        <v>464.47607420056573</v>
      </c>
      <c r="Q32" s="121">
        <v>301</v>
      </c>
      <c r="R32" s="121">
        <v>274.08223965000002</v>
      </c>
      <c r="S32" s="438">
        <v>124</v>
      </c>
      <c r="T32" s="121">
        <v>251</v>
      </c>
      <c r="U32" s="121">
        <v>148</v>
      </c>
      <c r="V32" s="215">
        <v>0.41486743685976335</v>
      </c>
      <c r="W32" s="215">
        <v>0.17078347864122012</v>
      </c>
      <c r="X32" s="215">
        <v>0.13100811485910757</v>
      </c>
      <c r="Y32" s="215">
        <v>-0.25212336536395341</v>
      </c>
      <c r="Z32" s="215">
        <v>-0.30771129870258662</v>
      </c>
      <c r="AA32" s="215">
        <v>0.19867359867229384</v>
      </c>
      <c r="AB32" s="215">
        <v>-0.29085640278019709</v>
      </c>
      <c r="AC32" s="215">
        <v>-0.19519106139562004</v>
      </c>
      <c r="AD32" s="215">
        <v>0.15168974935362156</v>
      </c>
      <c r="AE32" s="215">
        <v>-0.24566113216957619</v>
      </c>
      <c r="AF32" s="215">
        <v>-0.38106256340407607</v>
      </c>
      <c r="AG32" s="215">
        <v>-3.798436421110607E-2</v>
      </c>
      <c r="AH32" s="215">
        <v>0.12192288454242939</v>
      </c>
      <c r="AI32" s="215">
        <v>3.436426116838498E-2</v>
      </c>
      <c r="AJ32" s="215">
        <v>-0.40991096232085278</v>
      </c>
      <c r="AK32" s="215">
        <v>-0.51162790697674421</v>
      </c>
      <c r="AL32" s="215">
        <v>-8.4216473418619819E-2</v>
      </c>
      <c r="AM32" s="215">
        <v>0.19354838709677424</v>
      </c>
    </row>
    <row r="33" spans="1:40" s="52" customFormat="1" ht="15" customHeight="1" x14ac:dyDescent="0.2">
      <c r="A33" s="133" t="s">
        <v>118</v>
      </c>
      <c r="B33" s="27">
        <v>-18.938068874527129</v>
      </c>
      <c r="C33" s="27">
        <v>-7.8480658884651175</v>
      </c>
      <c r="D33" s="27">
        <v>-4.1833856094027029</v>
      </c>
      <c r="E33" s="27">
        <v>-6.9795921759142532</v>
      </c>
      <c r="F33" s="27">
        <v>-12.980796858841932</v>
      </c>
      <c r="G33" s="27">
        <v>-8.4930496626733962</v>
      </c>
      <c r="H33" s="27">
        <v>-2</v>
      </c>
      <c r="I33" s="27">
        <v>0</v>
      </c>
      <c r="J33" s="27">
        <v>0</v>
      </c>
      <c r="K33" s="27">
        <v>0</v>
      </c>
      <c r="L33" s="27">
        <v>0</v>
      </c>
      <c r="M33" s="27">
        <v>0</v>
      </c>
      <c r="N33" s="27">
        <v>0</v>
      </c>
      <c r="O33" s="27">
        <v>0</v>
      </c>
      <c r="P33" s="27">
        <v>0</v>
      </c>
      <c r="Q33" s="27">
        <v>0</v>
      </c>
      <c r="R33" s="27">
        <v>0</v>
      </c>
      <c r="S33" s="27">
        <v>0</v>
      </c>
      <c r="T33" s="27">
        <v>0</v>
      </c>
      <c r="U33" s="27">
        <v>0</v>
      </c>
      <c r="V33" s="215">
        <v>-0.77910178502784855</v>
      </c>
      <c r="W33" s="215">
        <v>-0.11066085898021372</v>
      </c>
      <c r="X33" s="215">
        <v>2.1029405536190362</v>
      </c>
      <c r="Y33" s="215">
        <v>0.21684038961214758</v>
      </c>
      <c r="Z33" s="215">
        <v>-0.84592625385415454</v>
      </c>
      <c r="AA33" s="215" t="s">
        <v>67</v>
      </c>
      <c r="AB33" s="215">
        <v>-1</v>
      </c>
      <c r="AC33" s="215" t="s">
        <v>67</v>
      </c>
      <c r="AD33" s="215" t="s">
        <v>67</v>
      </c>
      <c r="AE33" s="215" t="s">
        <v>67</v>
      </c>
      <c r="AF33" s="215" t="s">
        <v>67</v>
      </c>
      <c r="AG33" s="215" t="s">
        <v>67</v>
      </c>
      <c r="AH33" s="215" t="s">
        <v>67</v>
      </c>
      <c r="AI33" s="215" t="s">
        <v>67</v>
      </c>
      <c r="AJ33" s="215" t="s">
        <v>67</v>
      </c>
      <c r="AK33" s="215"/>
      <c r="AL33" s="215"/>
      <c r="AM33" s="215"/>
      <c r="AN33" s="361"/>
    </row>
    <row r="34" spans="1:40" s="52" customFormat="1" ht="15" customHeight="1" x14ac:dyDescent="0.2">
      <c r="A34" s="209" t="s">
        <v>421</v>
      </c>
      <c r="B34" s="121">
        <v>720.35253371547242</v>
      </c>
      <c r="C34" s="121">
        <v>466.87910710260724</v>
      </c>
      <c r="D34" s="121">
        <v>1041.8148143716201</v>
      </c>
      <c r="E34" s="121">
        <v>548.82313882408573</v>
      </c>
      <c r="F34" s="121">
        <v>1170.0516554477142</v>
      </c>
      <c r="G34" s="121">
        <v>407.17882631913045</v>
      </c>
      <c r="H34" s="121">
        <v>817</v>
      </c>
      <c r="I34" s="121">
        <v>135</v>
      </c>
      <c r="J34" s="121">
        <v>580.78860612301855</v>
      </c>
      <c r="K34" s="121">
        <v>401</v>
      </c>
      <c r="L34" s="121">
        <v>668.88828421325843</v>
      </c>
      <c r="M34" s="121">
        <v>302.48988599999996</v>
      </c>
      <c r="N34" s="121">
        <v>414</v>
      </c>
      <c r="O34" s="121">
        <v>291</v>
      </c>
      <c r="P34" s="121">
        <v>464.47607420056573</v>
      </c>
      <c r="Q34" s="121">
        <v>301</v>
      </c>
      <c r="R34" s="121">
        <v>274.08223965000002</v>
      </c>
      <c r="S34" s="438">
        <v>124</v>
      </c>
      <c r="T34" s="121">
        <v>251</v>
      </c>
      <c r="U34" s="121">
        <v>148</v>
      </c>
      <c r="V34" s="215">
        <v>0.44625688896808957</v>
      </c>
      <c r="W34" s="215">
        <v>0.17551445433061419</v>
      </c>
      <c r="X34" s="215">
        <v>0.12308986137180367</v>
      </c>
      <c r="Y34" s="215">
        <v>-0.25808735544285522</v>
      </c>
      <c r="Z34" s="215">
        <v>-0.30174022984704962</v>
      </c>
      <c r="AA34" s="215">
        <v>-0.66845034350044419</v>
      </c>
      <c r="AB34" s="215">
        <v>-0.28912043314196012</v>
      </c>
      <c r="AC34" s="215">
        <v>1.9703703703703703</v>
      </c>
      <c r="AD34" s="215">
        <v>0.15168974935362156</v>
      </c>
      <c r="AE34" s="215">
        <v>-0.24566113216957619</v>
      </c>
      <c r="AF34" s="215">
        <v>-0.38106256340407607</v>
      </c>
      <c r="AG34" s="215">
        <v>-3.798436421110607E-2</v>
      </c>
      <c r="AH34" s="215">
        <v>0.12192288454242939</v>
      </c>
      <c r="AI34" s="215">
        <v>3.436426116838498E-2</v>
      </c>
      <c r="AJ34" s="215">
        <v>-0.40991096232085278</v>
      </c>
      <c r="AK34" s="215">
        <v>-0.51162790697674421</v>
      </c>
      <c r="AL34" s="215">
        <v>-8.4216473418619819E-2</v>
      </c>
      <c r="AM34" s="215">
        <v>0.19354838709677424</v>
      </c>
      <c r="AN34" s="361"/>
    </row>
    <row r="35" spans="1:40" s="52" customFormat="1" ht="15" customHeight="1" x14ac:dyDescent="0.2">
      <c r="A35" s="209" t="s">
        <v>119</v>
      </c>
      <c r="B35" s="125"/>
      <c r="C35" s="125"/>
      <c r="D35" s="125"/>
      <c r="E35" s="125"/>
      <c r="F35" s="125"/>
      <c r="G35" s="125"/>
      <c r="H35" s="125"/>
      <c r="I35" s="125"/>
      <c r="J35" s="126"/>
      <c r="K35" s="126"/>
      <c r="L35" s="125"/>
      <c r="M35" s="125"/>
      <c r="N35" s="125"/>
      <c r="O35" s="125"/>
      <c r="P35" s="125"/>
      <c r="Q35" s="125"/>
      <c r="R35" s="125"/>
      <c r="S35" s="125"/>
      <c r="T35" s="125"/>
      <c r="U35" s="125"/>
      <c r="V35" s="215"/>
      <c r="W35" s="215"/>
      <c r="X35" s="215"/>
      <c r="Y35" s="215"/>
      <c r="Z35" s="215"/>
      <c r="AA35" s="215"/>
      <c r="AB35" s="215"/>
      <c r="AC35" s="215"/>
      <c r="AD35" s="215"/>
      <c r="AE35" s="215"/>
      <c r="AF35" s="215"/>
      <c r="AG35" s="215"/>
      <c r="AH35" s="215"/>
      <c r="AI35" s="215"/>
      <c r="AJ35" s="215"/>
      <c r="AK35" s="215"/>
      <c r="AL35" s="215"/>
      <c r="AM35" s="215"/>
      <c r="AN35" s="361"/>
    </row>
    <row r="36" spans="1:40" s="52" customFormat="1" ht="15" customHeight="1" outlineLevel="1" x14ac:dyDescent="0.2">
      <c r="A36" s="133" t="s">
        <v>106</v>
      </c>
      <c r="B36" s="27">
        <v>1124</v>
      </c>
      <c r="C36" s="27">
        <v>594</v>
      </c>
      <c r="D36" s="27">
        <v>1220</v>
      </c>
      <c r="E36" s="27">
        <v>729</v>
      </c>
      <c r="F36" s="27">
        <v>1464</v>
      </c>
      <c r="G36" s="27">
        <v>751</v>
      </c>
      <c r="H36" s="27">
        <v>1507</v>
      </c>
      <c r="I36" s="27">
        <v>810</v>
      </c>
      <c r="J36" s="308">
        <v>1830</v>
      </c>
      <c r="K36" s="308">
        <v>839</v>
      </c>
      <c r="L36" s="27">
        <v>1574</v>
      </c>
      <c r="M36" s="27">
        <v>584.42207545890017</v>
      </c>
      <c r="N36" s="27">
        <v>1129</v>
      </c>
      <c r="O36" s="27">
        <v>539</v>
      </c>
      <c r="P36" s="27">
        <v>1145</v>
      </c>
      <c r="Q36" s="27">
        <v>694</v>
      </c>
      <c r="R36" s="27">
        <v>1377</v>
      </c>
      <c r="S36" s="27">
        <v>675</v>
      </c>
      <c r="T36" s="27">
        <v>1311</v>
      </c>
      <c r="U36" s="27">
        <v>615</v>
      </c>
      <c r="V36" s="215">
        <v>8.5409252669039093E-2</v>
      </c>
      <c r="W36" s="215">
        <v>0.22727272727272729</v>
      </c>
      <c r="X36" s="215">
        <v>0.19999999999999996</v>
      </c>
      <c r="Y36" s="215">
        <v>3.0178326474622708E-2</v>
      </c>
      <c r="Z36" s="215">
        <v>2.9371584699453557E-2</v>
      </c>
      <c r="AA36" s="215">
        <v>7.856191744340868E-2</v>
      </c>
      <c r="AB36" s="215">
        <v>0.21433311214333117</v>
      </c>
      <c r="AC36" s="215">
        <v>3.5802469135802539E-2</v>
      </c>
      <c r="AD36" s="215">
        <v>-0.13989071038251366</v>
      </c>
      <c r="AE36" s="215">
        <v>-0.30343018419678169</v>
      </c>
      <c r="AF36" s="215">
        <v>-0.28271918678526053</v>
      </c>
      <c r="AG36" s="215">
        <v>-7.7721354764420547E-2</v>
      </c>
      <c r="AH36" s="215">
        <v>1.417183348095663E-2</v>
      </c>
      <c r="AI36" s="215">
        <v>0.27458256029684591</v>
      </c>
      <c r="AJ36" s="215">
        <v>0.20262008733624448</v>
      </c>
      <c r="AK36" s="215">
        <v>-2.7377521613832889E-2</v>
      </c>
      <c r="AL36" s="215">
        <v>-4.7930283224400849E-2</v>
      </c>
      <c r="AM36" s="215">
        <v>-8.8888888888888906E-2</v>
      </c>
      <c r="AN36" s="361"/>
    </row>
    <row r="37" spans="1:40" s="52" customFormat="1" ht="15" customHeight="1" outlineLevel="1" x14ac:dyDescent="0.2">
      <c r="A37" s="133" t="s">
        <v>107</v>
      </c>
      <c r="B37" s="27">
        <v>1013</v>
      </c>
      <c r="C37" s="27">
        <v>528</v>
      </c>
      <c r="D37" s="27">
        <v>1059</v>
      </c>
      <c r="E37" s="27">
        <v>579</v>
      </c>
      <c r="F37" s="27">
        <v>1157</v>
      </c>
      <c r="G37" s="27">
        <v>633</v>
      </c>
      <c r="H37" s="27">
        <v>1247</v>
      </c>
      <c r="I37" s="27">
        <v>553</v>
      </c>
      <c r="J37" s="308">
        <v>713</v>
      </c>
      <c r="K37" s="308">
        <v>285</v>
      </c>
      <c r="L37" s="27">
        <v>537</v>
      </c>
      <c r="M37" s="27">
        <v>180.69261421552594</v>
      </c>
      <c r="N37" s="27">
        <v>451</v>
      </c>
      <c r="O37" s="27">
        <v>203</v>
      </c>
      <c r="P37" s="27">
        <v>520</v>
      </c>
      <c r="Q37" s="27">
        <v>294</v>
      </c>
      <c r="R37" s="27">
        <v>703</v>
      </c>
      <c r="S37" s="27">
        <v>325</v>
      </c>
      <c r="T37" s="27">
        <v>727</v>
      </c>
      <c r="U37" s="27">
        <v>275</v>
      </c>
      <c r="V37" s="215">
        <v>4.5409674234945685E-2</v>
      </c>
      <c r="W37" s="215">
        <v>9.6590909090909172E-2</v>
      </c>
      <c r="X37" s="215">
        <v>9.2540132200188863E-2</v>
      </c>
      <c r="Y37" s="215">
        <v>9.3264248704663322E-2</v>
      </c>
      <c r="Z37" s="215">
        <v>7.7787381158167745E-2</v>
      </c>
      <c r="AA37" s="215">
        <v>-0.12638230647709325</v>
      </c>
      <c r="AB37" s="215">
        <v>-0.42822774659182039</v>
      </c>
      <c r="AC37" s="215">
        <v>-0.48462929475587702</v>
      </c>
      <c r="AD37" s="215">
        <v>-0.24684431977559607</v>
      </c>
      <c r="AE37" s="215">
        <v>-0.36599082731394406</v>
      </c>
      <c r="AF37" s="215">
        <v>-0.16014897579143395</v>
      </c>
      <c r="AG37" s="215">
        <v>0.12345488431456486</v>
      </c>
      <c r="AH37" s="215">
        <v>0.15299334811529941</v>
      </c>
      <c r="AI37" s="215">
        <v>0.38423645320197042</v>
      </c>
      <c r="AJ37" s="215">
        <v>0.35192307692307701</v>
      </c>
      <c r="AK37" s="215">
        <v>0.10544217687074831</v>
      </c>
      <c r="AL37" s="215">
        <v>3.4139402560455112E-2</v>
      </c>
      <c r="AM37" s="215">
        <v>-0.15384615384615385</v>
      </c>
      <c r="AN37" s="361"/>
    </row>
    <row r="38" spans="1:40" s="52" customFormat="1" ht="15" customHeight="1" outlineLevel="1" x14ac:dyDescent="0.2">
      <c r="A38" s="133" t="s">
        <v>108</v>
      </c>
      <c r="B38" s="27"/>
      <c r="C38" s="27"/>
      <c r="D38" s="27"/>
      <c r="E38" s="27"/>
      <c r="F38" s="27"/>
      <c r="G38" s="27"/>
      <c r="H38" s="27"/>
      <c r="I38" s="27"/>
      <c r="J38" s="308">
        <v>199</v>
      </c>
      <c r="K38" s="308">
        <v>59</v>
      </c>
      <c r="L38" s="27">
        <v>128</v>
      </c>
      <c r="M38" s="27">
        <v>34.619222620006695</v>
      </c>
      <c r="N38" s="27">
        <v>75</v>
      </c>
      <c r="O38" s="27">
        <v>25</v>
      </c>
      <c r="P38" s="27">
        <v>60</v>
      </c>
      <c r="Q38" s="27">
        <v>48</v>
      </c>
      <c r="R38" s="27">
        <v>81</v>
      </c>
      <c r="S38" s="27">
        <v>45</v>
      </c>
      <c r="T38" s="27">
        <v>87</v>
      </c>
      <c r="U38" s="27">
        <v>48</v>
      </c>
      <c r="V38" s="215"/>
      <c r="W38" s="215"/>
      <c r="X38" s="215"/>
      <c r="Y38" s="215"/>
      <c r="Z38" s="215"/>
      <c r="AA38" s="215"/>
      <c r="AB38" s="215"/>
      <c r="AC38" s="215"/>
      <c r="AD38" s="215">
        <v>-0.35678391959798994</v>
      </c>
      <c r="AE38" s="215">
        <v>-0.41323351491514071</v>
      </c>
      <c r="AF38" s="215">
        <v>-0.4140625</v>
      </c>
      <c r="AG38" s="215">
        <v>-0.27785784578674155</v>
      </c>
      <c r="AH38" s="215">
        <v>-0.19999999999999996</v>
      </c>
      <c r="AI38" s="215">
        <v>0.91999999999999993</v>
      </c>
      <c r="AJ38" s="215">
        <v>0.35000000000000009</v>
      </c>
      <c r="AK38" s="215">
        <v>-6.25E-2</v>
      </c>
      <c r="AL38" s="215">
        <v>7.4074074074074181E-2</v>
      </c>
      <c r="AM38" s="215">
        <v>6.6666666666666652E-2</v>
      </c>
      <c r="AN38" s="361"/>
    </row>
    <row r="39" spans="1:40" s="52" customFormat="1" outlineLevel="1" x14ac:dyDescent="0.2">
      <c r="A39" s="133" t="s">
        <v>420</v>
      </c>
      <c r="B39" s="27">
        <v>389</v>
      </c>
      <c r="C39" s="27">
        <v>630</v>
      </c>
      <c r="D39" s="27">
        <v>888</v>
      </c>
      <c r="E39" s="27">
        <v>896</v>
      </c>
      <c r="F39" s="27">
        <v>1195</v>
      </c>
      <c r="G39" s="27">
        <v>607</v>
      </c>
      <c r="H39" s="27">
        <v>918</v>
      </c>
      <c r="I39" s="27">
        <v>407</v>
      </c>
      <c r="J39" s="308">
        <v>720</v>
      </c>
      <c r="K39" s="308">
        <v>509</v>
      </c>
      <c r="L39" s="27">
        <v>829</v>
      </c>
      <c r="M39" s="27">
        <v>288.62193003506644</v>
      </c>
      <c r="N39" s="27">
        <v>719</v>
      </c>
      <c r="O39" s="27">
        <v>294</v>
      </c>
      <c r="P39" s="27">
        <v>0</v>
      </c>
      <c r="Q39" s="27">
        <v>0</v>
      </c>
      <c r="R39" s="27">
        <v>0</v>
      </c>
      <c r="S39" s="27">
        <v>0</v>
      </c>
      <c r="T39" s="27">
        <v>0</v>
      </c>
      <c r="U39" s="27">
        <v>0</v>
      </c>
      <c r="V39" s="215">
        <v>1.2827763496143958</v>
      </c>
      <c r="W39" s="215">
        <v>0.42222222222222228</v>
      </c>
      <c r="X39" s="215">
        <v>0.34572072072072069</v>
      </c>
      <c r="Y39" s="215">
        <v>-0.3225446428571429</v>
      </c>
      <c r="Z39" s="215">
        <v>-0.23179916317991633</v>
      </c>
      <c r="AA39" s="215">
        <v>-0.32948929159802309</v>
      </c>
      <c r="AB39" s="215">
        <v>-0.21568627450980393</v>
      </c>
      <c r="AC39" s="215">
        <v>0.25061425061425058</v>
      </c>
      <c r="AD39" s="215">
        <v>0.1513888888888888</v>
      </c>
      <c r="AE39" s="215">
        <v>-0.43296280936136256</v>
      </c>
      <c r="AF39" s="215">
        <v>-0.13268998793727382</v>
      </c>
      <c r="AG39" s="215">
        <v>1.8633615138947235E-2</v>
      </c>
      <c r="AH39" s="215">
        <v>-1</v>
      </c>
      <c r="AI39" s="215">
        <v>0.10544217687074831</v>
      </c>
      <c r="AJ39" s="215">
        <v>0</v>
      </c>
      <c r="AK39" s="215"/>
      <c r="AL39" s="215"/>
      <c r="AM39" s="215"/>
      <c r="AN39" s="361"/>
    </row>
    <row r="40" spans="1:40" s="52" customFormat="1" ht="15" customHeight="1" outlineLevel="1" x14ac:dyDescent="0.2">
      <c r="A40" s="133" t="s">
        <v>437</v>
      </c>
      <c r="B40" s="27"/>
      <c r="C40" s="27"/>
      <c r="D40" s="27"/>
      <c r="E40" s="27"/>
      <c r="F40" s="27"/>
      <c r="G40" s="27"/>
      <c r="H40" s="27"/>
      <c r="I40" s="27"/>
      <c r="J40" s="308"/>
      <c r="K40" s="308"/>
      <c r="L40" s="27"/>
      <c r="M40" s="27"/>
      <c r="N40" s="27"/>
      <c r="O40" s="27"/>
      <c r="P40" s="27">
        <v>184</v>
      </c>
      <c r="Q40" s="27">
        <v>134</v>
      </c>
      <c r="R40" s="27">
        <v>530</v>
      </c>
      <c r="S40" s="27">
        <v>196</v>
      </c>
      <c r="T40" s="27">
        <v>430</v>
      </c>
      <c r="U40" s="27">
        <v>192</v>
      </c>
      <c r="V40" s="215"/>
      <c r="W40" s="215"/>
      <c r="X40" s="215"/>
      <c r="Y40" s="215"/>
      <c r="Z40" s="215"/>
      <c r="AA40" s="215"/>
      <c r="AB40" s="215"/>
      <c r="AC40" s="215"/>
      <c r="AD40" s="215"/>
      <c r="AE40" s="215"/>
      <c r="AF40" s="215"/>
      <c r="AG40" s="215"/>
      <c r="AH40" s="215"/>
      <c r="AI40" s="215"/>
      <c r="AJ40" s="215">
        <v>1.8804347826086958</v>
      </c>
      <c r="AK40" s="215">
        <v>0.46268656716417911</v>
      </c>
      <c r="AL40" s="215">
        <v>-0.18867924528301883</v>
      </c>
      <c r="AM40" s="215">
        <v>-2.0408163265306145E-2</v>
      </c>
      <c r="AN40" s="361"/>
    </row>
    <row r="41" spans="1:40" s="52" customFormat="1" ht="15" customHeight="1" outlineLevel="1" x14ac:dyDescent="0.2">
      <c r="A41" s="133" t="s">
        <v>416</v>
      </c>
      <c r="B41" s="27"/>
      <c r="C41" s="27"/>
      <c r="D41" s="27"/>
      <c r="E41" s="27"/>
      <c r="F41" s="27"/>
      <c r="G41" s="27"/>
      <c r="H41" s="27"/>
      <c r="I41" s="27"/>
      <c r="J41" s="308"/>
      <c r="K41" s="308"/>
      <c r="L41" s="27"/>
      <c r="M41" s="27"/>
      <c r="N41" s="27"/>
      <c r="O41" s="27"/>
      <c r="P41" s="27">
        <v>291.65809999999999</v>
      </c>
      <c r="Q41" s="27">
        <v>142</v>
      </c>
      <c r="R41" s="27">
        <v>296.75923965000004</v>
      </c>
      <c r="S41" s="27">
        <v>259</v>
      </c>
      <c r="T41" s="27">
        <v>436</v>
      </c>
      <c r="U41" s="27">
        <v>246</v>
      </c>
      <c r="V41" s="215"/>
      <c r="W41" s="215"/>
      <c r="X41" s="215"/>
      <c r="Y41" s="215"/>
      <c r="Z41" s="215"/>
      <c r="AA41" s="215"/>
      <c r="AB41" s="215"/>
      <c r="AC41" s="215"/>
      <c r="AD41" s="215"/>
      <c r="AE41" s="215"/>
      <c r="AF41" s="215"/>
      <c r="AG41" s="215"/>
      <c r="AH41" s="215"/>
      <c r="AI41" s="215"/>
      <c r="AJ41" s="215">
        <v>1.7490135367404624E-2</v>
      </c>
      <c r="AK41" s="215">
        <v>0.823943661971831</v>
      </c>
      <c r="AL41" s="215">
        <v>0.46920446525682413</v>
      </c>
      <c r="AM41" s="215">
        <v>-5.0193050193050204E-2</v>
      </c>
      <c r="AN41" s="361"/>
    </row>
    <row r="42" spans="1:40" s="52" customFormat="1" ht="15" customHeight="1" outlineLevel="1" x14ac:dyDescent="0.2">
      <c r="A42" s="133" t="s">
        <v>417</v>
      </c>
      <c r="B42" s="27"/>
      <c r="C42" s="27"/>
      <c r="D42" s="27"/>
      <c r="E42" s="27"/>
      <c r="F42" s="27"/>
      <c r="G42" s="27"/>
      <c r="H42" s="27"/>
      <c r="I42" s="27"/>
      <c r="J42" s="308"/>
      <c r="K42" s="308"/>
      <c r="L42" s="27"/>
      <c r="M42" s="27"/>
      <c r="N42" s="27"/>
      <c r="O42" s="27"/>
      <c r="P42" s="27">
        <v>79</v>
      </c>
      <c r="Q42" s="27"/>
      <c r="R42" s="27">
        <v>93</v>
      </c>
      <c r="S42" s="27">
        <v>0</v>
      </c>
      <c r="T42" s="27">
        <v>0</v>
      </c>
      <c r="U42" s="27">
        <v>0</v>
      </c>
      <c r="V42" s="215"/>
      <c r="W42" s="215"/>
      <c r="X42" s="215"/>
      <c r="Y42" s="215"/>
      <c r="Z42" s="215"/>
      <c r="AA42" s="215"/>
      <c r="AB42" s="215"/>
      <c r="AC42" s="215"/>
      <c r="AD42" s="215"/>
      <c r="AE42" s="215"/>
      <c r="AF42" s="215"/>
      <c r="AG42" s="215"/>
      <c r="AH42" s="215"/>
      <c r="AI42" s="215"/>
      <c r="AJ42" s="215">
        <v>0.17721518987341778</v>
      </c>
      <c r="AK42" s="215"/>
      <c r="AL42" s="215">
        <v>-1</v>
      </c>
      <c r="AM42" s="215"/>
      <c r="AN42" s="361"/>
    </row>
    <row r="43" spans="1:40" s="26" customFormat="1" ht="15" customHeight="1" outlineLevel="1" x14ac:dyDescent="0.2">
      <c r="A43" s="133" t="s">
        <v>347</v>
      </c>
      <c r="B43" s="27">
        <v>520</v>
      </c>
      <c r="C43" s="27">
        <v>273</v>
      </c>
      <c r="D43" s="27">
        <v>610</v>
      </c>
      <c r="E43" s="27">
        <v>272</v>
      </c>
      <c r="F43" s="27">
        <v>558</v>
      </c>
      <c r="G43" s="27">
        <v>309</v>
      </c>
      <c r="H43" s="27">
        <v>651</v>
      </c>
      <c r="I43" s="27">
        <v>297</v>
      </c>
      <c r="J43" s="308">
        <v>557</v>
      </c>
      <c r="K43" s="308">
        <v>185</v>
      </c>
      <c r="L43" s="27">
        <v>436</v>
      </c>
      <c r="M43" s="27">
        <v>118.70073135174435</v>
      </c>
      <c r="N43" s="27">
        <v>187</v>
      </c>
      <c r="O43" s="27">
        <v>72</v>
      </c>
      <c r="P43" s="27">
        <v>170</v>
      </c>
      <c r="Q43" s="27">
        <v>105</v>
      </c>
      <c r="R43" s="27">
        <v>204</v>
      </c>
      <c r="S43" s="27">
        <v>91</v>
      </c>
      <c r="T43" s="27">
        <v>200</v>
      </c>
      <c r="U43" s="27">
        <v>96</v>
      </c>
      <c r="V43" s="215">
        <v>0.17307692307692313</v>
      </c>
      <c r="W43" s="215">
        <v>-3.66300366300365E-3</v>
      </c>
      <c r="X43" s="215">
        <v>-8.5245901639344313E-2</v>
      </c>
      <c r="Y43" s="215">
        <v>0.13602941176470584</v>
      </c>
      <c r="Z43" s="215">
        <v>0.16666666666666674</v>
      </c>
      <c r="AA43" s="215">
        <v>-3.8834951456310662E-2</v>
      </c>
      <c r="AB43" s="215">
        <v>-0.14439324116743468</v>
      </c>
      <c r="AC43" s="215">
        <v>-0.37710437710437705</v>
      </c>
      <c r="AD43" s="215">
        <v>-0.21723518850987433</v>
      </c>
      <c r="AE43" s="215">
        <v>-0.35837442512570616</v>
      </c>
      <c r="AF43" s="215">
        <v>-0.57110091743119273</v>
      </c>
      <c r="AG43" s="215">
        <v>-0.39343254940322714</v>
      </c>
      <c r="AH43" s="215">
        <v>-9.0909090909090939E-2</v>
      </c>
      <c r="AI43" s="215">
        <v>0.16666666666666674</v>
      </c>
      <c r="AJ43" s="215">
        <v>0.19999999999999996</v>
      </c>
      <c r="AK43" s="215">
        <v>-0.1333333333333333</v>
      </c>
      <c r="AL43" s="215">
        <v>-1.9607843137254943E-2</v>
      </c>
      <c r="AM43" s="215">
        <v>5.4945054945054972E-2</v>
      </c>
      <c r="AN43" s="362"/>
    </row>
    <row r="44" spans="1:40" s="26" customFormat="1" ht="15" customHeight="1" outlineLevel="1" x14ac:dyDescent="0.2">
      <c r="A44" s="133" t="s">
        <v>348</v>
      </c>
      <c r="B44" s="27">
        <v>143</v>
      </c>
      <c r="C44" s="27">
        <v>86</v>
      </c>
      <c r="D44" s="27">
        <v>169</v>
      </c>
      <c r="E44" s="27">
        <v>99</v>
      </c>
      <c r="F44" s="27">
        <v>172</v>
      </c>
      <c r="G44" s="27">
        <v>99</v>
      </c>
      <c r="H44" s="27">
        <v>193</v>
      </c>
      <c r="I44" s="27">
        <v>144</v>
      </c>
      <c r="J44" s="308">
        <v>258</v>
      </c>
      <c r="K44" s="308">
        <v>110</v>
      </c>
      <c r="L44" s="27">
        <v>194</v>
      </c>
      <c r="M44" s="27">
        <v>59.450800105894409</v>
      </c>
      <c r="N44" s="27">
        <v>128</v>
      </c>
      <c r="O44" s="27">
        <v>67</v>
      </c>
      <c r="P44" s="27">
        <v>122</v>
      </c>
      <c r="Q44" s="27">
        <v>106</v>
      </c>
      <c r="R44" s="27">
        <v>221</v>
      </c>
      <c r="S44" s="27">
        <v>110</v>
      </c>
      <c r="T44" s="27">
        <v>212</v>
      </c>
      <c r="U44" s="27">
        <v>110</v>
      </c>
      <c r="V44" s="215">
        <v>0.18181818181818188</v>
      </c>
      <c r="W44" s="215">
        <v>0.15116279069767447</v>
      </c>
      <c r="X44" s="215">
        <v>1.7751479289940919E-2</v>
      </c>
      <c r="Y44" s="215">
        <v>0</v>
      </c>
      <c r="Z44" s="215">
        <v>0.12209302325581395</v>
      </c>
      <c r="AA44" s="215">
        <v>0.45454545454545459</v>
      </c>
      <c r="AB44" s="215">
        <v>0.33678756476683946</v>
      </c>
      <c r="AC44" s="215">
        <v>-0.23611111111111116</v>
      </c>
      <c r="AD44" s="215">
        <v>-0.24806201550387597</v>
      </c>
      <c r="AE44" s="215">
        <v>-0.45953818085550535</v>
      </c>
      <c r="AF44" s="215">
        <v>-0.34020618556701032</v>
      </c>
      <c r="AG44" s="215">
        <v>0.12698230941650701</v>
      </c>
      <c r="AH44" s="215">
        <v>-4.6875E-2</v>
      </c>
      <c r="AI44" s="215">
        <v>0.58208955223880587</v>
      </c>
      <c r="AJ44" s="215">
        <v>0.81147540983606548</v>
      </c>
      <c r="AK44" s="215">
        <v>3.7735849056603765E-2</v>
      </c>
      <c r="AL44" s="215">
        <v>-4.0723981900452455E-2</v>
      </c>
      <c r="AM44" s="215">
        <v>0</v>
      </c>
      <c r="AN44" s="362"/>
    </row>
    <row r="45" spans="1:40" s="26" customFormat="1" ht="15" customHeight="1" outlineLevel="1" x14ac:dyDescent="0.2">
      <c r="A45" s="133" t="s">
        <v>349</v>
      </c>
      <c r="B45" s="27">
        <v>137</v>
      </c>
      <c r="C45" s="27">
        <v>87</v>
      </c>
      <c r="D45" s="27">
        <v>182</v>
      </c>
      <c r="E45" s="27">
        <v>118</v>
      </c>
      <c r="F45" s="27">
        <v>236</v>
      </c>
      <c r="G45" s="27">
        <v>104</v>
      </c>
      <c r="H45" s="27">
        <v>216</v>
      </c>
      <c r="I45" s="27">
        <v>110</v>
      </c>
      <c r="J45" s="308">
        <v>221</v>
      </c>
      <c r="K45" s="308">
        <v>107</v>
      </c>
      <c r="L45" s="27">
        <v>198</v>
      </c>
      <c r="M45" s="27">
        <v>74.912439333400116</v>
      </c>
      <c r="N45" s="27">
        <v>107</v>
      </c>
      <c r="O45" s="27">
        <v>47</v>
      </c>
      <c r="P45" s="27">
        <v>101</v>
      </c>
      <c r="Q45" s="27">
        <v>69</v>
      </c>
      <c r="R45" s="27">
        <v>132</v>
      </c>
      <c r="S45" s="27">
        <v>74</v>
      </c>
      <c r="T45" s="27">
        <v>143</v>
      </c>
      <c r="U45" s="27">
        <v>77</v>
      </c>
      <c r="V45" s="215">
        <v>0.32846715328467146</v>
      </c>
      <c r="W45" s="215">
        <v>0.35632183908045967</v>
      </c>
      <c r="X45" s="215">
        <v>0.29670329670329676</v>
      </c>
      <c r="Y45" s="215">
        <v>-0.11864406779661019</v>
      </c>
      <c r="Z45" s="215">
        <v>-8.4745762711864403E-2</v>
      </c>
      <c r="AA45" s="215">
        <v>5.7692307692307709E-2</v>
      </c>
      <c r="AB45" s="215">
        <v>2.314814814814814E-2</v>
      </c>
      <c r="AC45" s="215">
        <v>-2.7272727272727226E-2</v>
      </c>
      <c r="AD45" s="215">
        <v>-0.10407239819004521</v>
      </c>
      <c r="AE45" s="215">
        <v>-0.29988374454766242</v>
      </c>
      <c r="AF45" s="215">
        <v>-0.45959595959595956</v>
      </c>
      <c r="AG45" s="215">
        <v>-0.37260086017456917</v>
      </c>
      <c r="AH45" s="215">
        <v>-5.6074766355140193E-2</v>
      </c>
      <c r="AI45" s="215">
        <v>0.36170212765957444</v>
      </c>
      <c r="AJ45" s="215">
        <v>0.30693069306930698</v>
      </c>
      <c r="AK45" s="215">
        <v>7.2463768115942129E-2</v>
      </c>
      <c r="AL45" s="215">
        <v>8.3333333333333259E-2</v>
      </c>
      <c r="AM45" s="215">
        <v>4.0540540540540571E-2</v>
      </c>
      <c r="AN45" s="362"/>
    </row>
    <row r="46" spans="1:40" s="26" customFormat="1" ht="15" customHeight="1" outlineLevel="1" x14ac:dyDescent="0.2">
      <c r="A46" s="133" t="s">
        <v>109</v>
      </c>
      <c r="B46" s="27">
        <v>161</v>
      </c>
      <c r="C46" s="27">
        <v>67</v>
      </c>
      <c r="D46" s="27">
        <v>171</v>
      </c>
      <c r="E46" s="27">
        <v>87</v>
      </c>
      <c r="F46" s="27">
        <v>149</v>
      </c>
      <c r="G46" s="27">
        <v>82</v>
      </c>
      <c r="H46" s="27">
        <v>156</v>
      </c>
      <c r="I46" s="27">
        <v>77</v>
      </c>
      <c r="J46" s="308">
        <v>117</v>
      </c>
      <c r="K46" s="308">
        <v>48</v>
      </c>
      <c r="L46" s="27">
        <v>87</v>
      </c>
      <c r="M46" s="27">
        <v>39.004416108171526</v>
      </c>
      <c r="N46" s="27">
        <v>75</v>
      </c>
      <c r="O46" s="27">
        <v>31</v>
      </c>
      <c r="P46" s="27">
        <v>71</v>
      </c>
      <c r="Q46" s="27">
        <v>30</v>
      </c>
      <c r="R46" s="27">
        <v>64</v>
      </c>
      <c r="S46" s="27">
        <v>32</v>
      </c>
      <c r="T46" s="27">
        <v>70</v>
      </c>
      <c r="U46" s="27">
        <v>38</v>
      </c>
      <c r="V46" s="215">
        <v>6.211180124223592E-2</v>
      </c>
      <c r="W46" s="215">
        <v>0.29850746268656714</v>
      </c>
      <c r="X46" s="215">
        <v>-0.12865497076023391</v>
      </c>
      <c r="Y46" s="215">
        <v>-5.7471264367816133E-2</v>
      </c>
      <c r="Z46" s="215">
        <v>4.6979865771812124E-2</v>
      </c>
      <c r="AA46" s="215">
        <v>-6.0975609756097615E-2</v>
      </c>
      <c r="AB46" s="215">
        <v>-0.25</v>
      </c>
      <c r="AC46" s="215">
        <v>-0.37662337662337664</v>
      </c>
      <c r="AD46" s="215">
        <v>-0.25641025641025639</v>
      </c>
      <c r="AE46" s="215">
        <v>-0.18740799774642658</v>
      </c>
      <c r="AF46" s="215">
        <v>-0.13793103448275867</v>
      </c>
      <c r="AG46" s="215">
        <v>-0.20521820108709643</v>
      </c>
      <c r="AH46" s="215">
        <v>-5.3333333333333344E-2</v>
      </c>
      <c r="AI46" s="215">
        <v>-6.4516129032258118E-2</v>
      </c>
      <c r="AJ46" s="215">
        <v>-9.8591549295774628E-2</v>
      </c>
      <c r="AK46" s="215">
        <v>6.6666666666666652E-2</v>
      </c>
      <c r="AL46" s="215">
        <v>9.375E-2</v>
      </c>
      <c r="AM46" s="215">
        <v>0.1875</v>
      </c>
      <c r="AN46" s="362"/>
    </row>
    <row r="47" spans="1:40" s="26" customFormat="1" ht="15" customHeight="1" outlineLevel="1" x14ac:dyDescent="0.2">
      <c r="A47" s="133" t="s">
        <v>110</v>
      </c>
      <c r="B47" s="27">
        <v>75</v>
      </c>
      <c r="C47" s="27">
        <v>57</v>
      </c>
      <c r="D47" s="27">
        <v>118</v>
      </c>
      <c r="E47" s="27">
        <v>46</v>
      </c>
      <c r="F47" s="27">
        <v>115</v>
      </c>
      <c r="G47" s="27">
        <v>63</v>
      </c>
      <c r="H47" s="27">
        <v>109</v>
      </c>
      <c r="I47" s="27">
        <v>41</v>
      </c>
      <c r="J47" s="308">
        <v>141</v>
      </c>
      <c r="K47" s="308">
        <v>84</v>
      </c>
      <c r="L47" s="27">
        <v>84</v>
      </c>
      <c r="M47" s="27">
        <v>59.464629914124124</v>
      </c>
      <c r="N47" s="27">
        <v>126</v>
      </c>
      <c r="O47" s="27">
        <v>64</v>
      </c>
      <c r="P47" s="27">
        <v>143</v>
      </c>
      <c r="Q47" s="27">
        <v>75</v>
      </c>
      <c r="R47" s="27">
        <v>150</v>
      </c>
      <c r="S47" s="27">
        <v>72</v>
      </c>
      <c r="T47" s="27">
        <v>158</v>
      </c>
      <c r="U47" s="27">
        <v>76</v>
      </c>
      <c r="V47" s="215">
        <v>0.57333333333333325</v>
      </c>
      <c r="W47" s="215">
        <v>-0.19298245614035092</v>
      </c>
      <c r="X47" s="215">
        <v>-2.5423728813559365E-2</v>
      </c>
      <c r="Y47" s="215">
        <v>0.36956521739130443</v>
      </c>
      <c r="Z47" s="215">
        <v>-5.2173913043478293E-2</v>
      </c>
      <c r="AA47" s="215">
        <v>-0.34920634920634919</v>
      </c>
      <c r="AB47" s="215">
        <v>0.29357798165137616</v>
      </c>
      <c r="AC47" s="215">
        <v>1.0487804878048781</v>
      </c>
      <c r="AD47" s="215">
        <v>-0.4042553191489362</v>
      </c>
      <c r="AE47" s="215">
        <v>-0.29208773911756991</v>
      </c>
      <c r="AF47" s="215">
        <v>0.5</v>
      </c>
      <c r="AG47" s="215">
        <v>7.6270046453255302E-2</v>
      </c>
      <c r="AH47" s="215">
        <v>0.13492063492063489</v>
      </c>
      <c r="AI47" s="215">
        <v>0.140625</v>
      </c>
      <c r="AJ47" s="215">
        <v>4.8951048951048959E-2</v>
      </c>
      <c r="AK47" s="215">
        <v>-4.0000000000000036E-2</v>
      </c>
      <c r="AL47" s="215">
        <v>5.3333333333333233E-2</v>
      </c>
      <c r="AM47" s="215">
        <v>5.555555555555558E-2</v>
      </c>
      <c r="AN47" s="362"/>
    </row>
    <row r="48" spans="1:40" s="26" customFormat="1" ht="15" customHeight="1" x14ac:dyDescent="0.2">
      <c r="A48" s="209" t="s">
        <v>120</v>
      </c>
      <c r="B48" s="121">
        <v>3562</v>
      </c>
      <c r="C48" s="121">
        <v>2322</v>
      </c>
      <c r="D48" s="121">
        <v>4417</v>
      </c>
      <c r="E48" s="121">
        <v>2826</v>
      </c>
      <c r="F48" s="121">
        <v>5046</v>
      </c>
      <c r="G48" s="121">
        <v>2648</v>
      </c>
      <c r="H48" s="121">
        <v>4997</v>
      </c>
      <c r="I48" s="121">
        <v>2439</v>
      </c>
      <c r="J48" s="122">
        <v>4756</v>
      </c>
      <c r="K48" s="122">
        <v>2226</v>
      </c>
      <c r="L48" s="121">
        <v>4067</v>
      </c>
      <c r="M48" s="121">
        <v>1439.8888591428333</v>
      </c>
      <c r="N48" s="121">
        <v>2997</v>
      </c>
      <c r="O48" s="121">
        <v>1342</v>
      </c>
      <c r="P48" s="121">
        <v>2886.6581000000001</v>
      </c>
      <c r="Q48" s="121">
        <v>1697</v>
      </c>
      <c r="R48" s="121">
        <v>3851.7592396499999</v>
      </c>
      <c r="S48" s="438">
        <v>1879</v>
      </c>
      <c r="T48" s="121">
        <v>3774</v>
      </c>
      <c r="U48" s="121">
        <v>1773</v>
      </c>
      <c r="V48" s="215">
        <v>0.2400336889387984</v>
      </c>
      <c r="W48" s="215">
        <v>0.21705426356589141</v>
      </c>
      <c r="X48" s="215">
        <v>0.14240434684174774</v>
      </c>
      <c r="Y48" s="215">
        <v>-6.2986553432413328E-2</v>
      </c>
      <c r="Z48" s="215">
        <v>-9.7106619104241343E-3</v>
      </c>
      <c r="AA48" s="215">
        <v>-7.8927492447129932E-2</v>
      </c>
      <c r="AB48" s="215">
        <v>-4.8228937362417401E-2</v>
      </c>
      <c r="AC48" s="215">
        <v>-8.7330873308733126E-2</v>
      </c>
      <c r="AD48" s="215">
        <v>-0.14486963835155597</v>
      </c>
      <c r="AE48" s="215">
        <v>-0.35314965896548367</v>
      </c>
      <c r="AF48" s="215">
        <v>-0.26309318908286206</v>
      </c>
      <c r="AG48" s="215">
        <v>-6.7983621458885812E-2</v>
      </c>
      <c r="AH48" s="215">
        <v>-3.6817450784117467E-2</v>
      </c>
      <c r="AI48" s="215">
        <v>0.2645305514157974</v>
      </c>
      <c r="AJ48" s="215">
        <v>0.33433164102461599</v>
      </c>
      <c r="AK48" s="215">
        <v>0.10724808485562765</v>
      </c>
      <c r="AL48" s="215">
        <v>-2.0187980299896879E-2</v>
      </c>
      <c r="AM48" s="215">
        <v>-5.6412985630654555E-2</v>
      </c>
      <c r="AN48" s="362"/>
    </row>
    <row r="49" spans="1:40" s="52" customFormat="1" ht="15" customHeight="1" x14ac:dyDescent="0.2">
      <c r="A49" s="133" t="s">
        <v>118</v>
      </c>
      <c r="B49" s="308">
        <v>-348</v>
      </c>
      <c r="C49" s="308">
        <v>-211</v>
      </c>
      <c r="D49" s="308">
        <v>-425</v>
      </c>
      <c r="E49" s="308">
        <v>-230</v>
      </c>
      <c r="F49" s="308">
        <v>-425</v>
      </c>
      <c r="G49" s="308">
        <v>-158</v>
      </c>
      <c r="H49" s="308">
        <v>-22</v>
      </c>
      <c r="I49" s="308">
        <v>-8</v>
      </c>
      <c r="J49" s="308">
        <v>0</v>
      </c>
      <c r="K49" s="308">
        <v>0</v>
      </c>
      <c r="L49" s="27">
        <v>0</v>
      </c>
      <c r="M49" s="27">
        <v>0</v>
      </c>
      <c r="N49" s="27">
        <v>0</v>
      </c>
      <c r="O49" s="27">
        <v>0</v>
      </c>
      <c r="P49" s="27">
        <v>0</v>
      </c>
      <c r="Q49" s="27">
        <v>0</v>
      </c>
      <c r="R49" s="27">
        <v>0</v>
      </c>
      <c r="S49" s="27">
        <v>0</v>
      </c>
      <c r="T49" s="27">
        <v>0</v>
      </c>
      <c r="U49" s="27">
        <v>0</v>
      </c>
      <c r="V49" s="215">
        <v>0.22126436781609193</v>
      </c>
      <c r="W49" s="215">
        <v>9.004739336492884E-2</v>
      </c>
      <c r="X49" s="215">
        <v>0</v>
      </c>
      <c r="Y49" s="215">
        <v>-0.31304347826086953</v>
      </c>
      <c r="Z49" s="215">
        <v>-0.94823529411764707</v>
      </c>
      <c r="AA49" s="215">
        <v>-0.94936708860759489</v>
      </c>
      <c r="AB49" s="215">
        <v>-1</v>
      </c>
      <c r="AC49" s="215">
        <v>-1</v>
      </c>
      <c r="AD49" s="215"/>
      <c r="AE49" s="215"/>
      <c r="AF49" s="215"/>
      <c r="AG49" s="215"/>
      <c r="AH49" s="215"/>
      <c r="AI49" s="215"/>
      <c r="AJ49" s="215"/>
      <c r="AK49" s="215"/>
      <c r="AL49" s="215"/>
      <c r="AM49" s="215"/>
      <c r="AN49" s="361"/>
    </row>
    <row r="50" spans="1:40" s="52" customFormat="1" ht="15" customHeight="1" x14ac:dyDescent="0.2">
      <c r="A50" s="363" t="s">
        <v>120</v>
      </c>
      <c r="B50" s="325">
        <v>3214</v>
      </c>
      <c r="C50" s="325">
        <v>2111</v>
      </c>
      <c r="D50" s="325">
        <v>3992</v>
      </c>
      <c r="E50" s="325">
        <v>2596</v>
      </c>
      <c r="F50" s="325">
        <v>4621</v>
      </c>
      <c r="G50" s="325">
        <v>2490</v>
      </c>
      <c r="H50" s="325">
        <v>4975</v>
      </c>
      <c r="I50" s="325">
        <v>2431</v>
      </c>
      <c r="J50" s="325">
        <v>4756</v>
      </c>
      <c r="K50" s="325">
        <v>2226</v>
      </c>
      <c r="L50" s="364">
        <v>4067</v>
      </c>
      <c r="M50" s="364">
        <v>1439.8888591428333</v>
      </c>
      <c r="N50" s="364">
        <v>2997</v>
      </c>
      <c r="O50" s="364">
        <v>1342</v>
      </c>
      <c r="P50" s="364">
        <v>2886.6581000000001</v>
      </c>
      <c r="Q50" s="364">
        <v>1697</v>
      </c>
      <c r="R50" s="364">
        <v>3851.7592396499999</v>
      </c>
      <c r="S50" s="364">
        <v>1879</v>
      </c>
      <c r="T50" s="364">
        <v>3774</v>
      </c>
      <c r="U50" s="364">
        <v>1773</v>
      </c>
      <c r="V50" s="227">
        <v>0.24206596141879277</v>
      </c>
      <c r="W50" s="227">
        <v>0.22974893415442921</v>
      </c>
      <c r="X50" s="227">
        <v>0.15756513026052099</v>
      </c>
      <c r="Y50" s="227">
        <v>-4.083204930662554E-2</v>
      </c>
      <c r="Z50" s="227">
        <v>7.6606795066002986E-2</v>
      </c>
      <c r="AA50" s="227">
        <v>-2.3694779116465892E-2</v>
      </c>
      <c r="AB50" s="227">
        <v>-4.4020100502512594E-2</v>
      </c>
      <c r="AC50" s="227">
        <v>-8.4327437268613692E-2</v>
      </c>
      <c r="AD50" s="227">
        <v>-0.14486963835155597</v>
      </c>
      <c r="AE50" s="227">
        <v>-0.35314965896548367</v>
      </c>
      <c r="AF50" s="227">
        <v>-0.26309318908286206</v>
      </c>
      <c r="AG50" s="227">
        <v>-6.7983621458885812E-2</v>
      </c>
      <c r="AH50" s="227">
        <v>-3.6817450784117467E-2</v>
      </c>
      <c r="AI50" s="227">
        <v>0.2645305514157974</v>
      </c>
      <c r="AJ50" s="227">
        <v>0.33433164102461599</v>
      </c>
      <c r="AK50" s="227">
        <v>0.10724808485562765</v>
      </c>
      <c r="AL50" s="227">
        <v>-2.0187980299896879E-2</v>
      </c>
      <c r="AM50" s="227">
        <v>-5.6412985630654555E-2</v>
      </c>
      <c r="AN50" s="361"/>
    </row>
    <row r="51" spans="1:40" s="52" customFormat="1" x14ac:dyDescent="0.2">
      <c r="A51" s="231" t="s">
        <v>55</v>
      </c>
      <c r="B51" s="203"/>
      <c r="C51" s="203"/>
      <c r="D51" s="170"/>
      <c r="E51" s="170"/>
      <c r="F51" s="170"/>
      <c r="G51" s="181"/>
      <c r="H51" s="181"/>
      <c r="I51" s="181"/>
      <c r="J51" s="70"/>
      <c r="K51" s="70"/>
      <c r="L51" s="70"/>
      <c r="M51" s="70"/>
      <c r="N51" s="70"/>
      <c r="O51" s="70"/>
      <c r="P51" s="70"/>
      <c r="Q51" s="70"/>
      <c r="R51" s="70"/>
      <c r="S51" s="70"/>
      <c r="T51" s="70"/>
      <c r="U51" s="70"/>
      <c r="V51" s="90"/>
      <c r="W51" s="90"/>
      <c r="X51" s="90"/>
      <c r="Y51" s="90"/>
      <c r="Z51" s="90"/>
      <c r="AA51" s="90"/>
      <c r="AB51" s="90"/>
      <c r="AC51" s="90"/>
      <c r="AH51" s="90"/>
      <c r="AI51" s="90"/>
      <c r="AJ51" s="90"/>
      <c r="AK51" s="90"/>
      <c r="AL51" s="90"/>
      <c r="AM51" s="90"/>
      <c r="AN51" s="361"/>
    </row>
    <row r="52" spans="1:40" s="52" customFormat="1" x14ac:dyDescent="0.2">
      <c r="A52" s="26"/>
      <c r="B52" s="203"/>
      <c r="C52" s="203"/>
      <c r="D52" s="170"/>
      <c r="E52" s="170"/>
      <c r="F52" s="170"/>
      <c r="G52" s="181"/>
      <c r="H52" s="181"/>
      <c r="I52" s="181"/>
      <c r="J52" s="70"/>
      <c r="K52" s="70"/>
      <c r="L52" s="70"/>
      <c r="M52" s="70"/>
      <c r="N52" s="70"/>
      <c r="O52" s="70"/>
      <c r="P52" s="70"/>
      <c r="Q52" s="70"/>
      <c r="R52" s="70"/>
      <c r="S52" s="70"/>
      <c r="T52" s="70"/>
      <c r="U52" s="70"/>
      <c r="V52" s="90"/>
      <c r="W52" s="90"/>
      <c r="X52" s="90"/>
      <c r="Y52" s="90"/>
      <c r="Z52" s="90"/>
      <c r="AA52" s="90"/>
      <c r="AB52" s="90"/>
      <c r="AC52" s="90"/>
      <c r="AH52" s="90"/>
      <c r="AI52" s="90"/>
      <c r="AJ52" s="90"/>
      <c r="AK52" s="90"/>
      <c r="AL52" s="90"/>
      <c r="AM52" s="90"/>
      <c r="AN52" s="361"/>
    </row>
    <row r="53" spans="1:40" x14ac:dyDescent="0.2">
      <c r="A53" s="209" t="s">
        <v>56</v>
      </c>
      <c r="B53" s="70"/>
      <c r="C53" s="70"/>
      <c r="D53" s="70"/>
      <c r="E53" s="70"/>
      <c r="F53" s="70"/>
      <c r="G53" s="70"/>
      <c r="H53" s="70"/>
      <c r="I53" s="70"/>
      <c r="J53" s="70"/>
      <c r="K53" s="70"/>
      <c r="L53" s="70"/>
      <c r="M53" s="70"/>
      <c r="N53" s="70"/>
      <c r="O53" s="70"/>
      <c r="P53" s="70"/>
      <c r="Q53" s="70"/>
      <c r="R53" s="70"/>
      <c r="S53" s="70"/>
      <c r="T53" s="70"/>
      <c r="U53" s="70"/>
      <c r="V53" s="170"/>
      <c r="W53" s="170"/>
      <c r="X53" s="170"/>
      <c r="Y53" s="170"/>
      <c r="Z53" s="170"/>
      <c r="AA53" s="170"/>
      <c r="AB53" s="170"/>
      <c r="AC53" s="170"/>
      <c r="AH53" s="170"/>
      <c r="AI53" s="170"/>
      <c r="AJ53" s="170"/>
      <c r="AK53" s="170"/>
      <c r="AL53" s="170"/>
      <c r="AM53" s="170"/>
    </row>
    <row r="54" spans="1:40" s="109" customFormat="1" ht="25.5" x14ac:dyDescent="0.2">
      <c r="A54" s="211" t="s">
        <v>341</v>
      </c>
      <c r="B54" s="365"/>
      <c r="C54" s="365"/>
      <c r="D54" s="365"/>
      <c r="E54" s="365"/>
      <c r="F54" s="365"/>
      <c r="G54" s="365"/>
      <c r="H54" s="365"/>
      <c r="I54" s="365"/>
      <c r="J54" s="365"/>
      <c r="K54" s="365"/>
      <c r="L54" s="365"/>
      <c r="M54" s="365"/>
      <c r="N54" s="365"/>
      <c r="O54" s="365"/>
      <c r="P54" s="365"/>
      <c r="Q54" s="365"/>
      <c r="R54" s="365"/>
      <c r="S54" s="365"/>
      <c r="T54" s="365"/>
      <c r="U54" s="365"/>
      <c r="V54" s="307"/>
      <c r="W54" s="307"/>
      <c r="X54" s="307"/>
      <c r="Y54" s="307"/>
      <c r="Z54" s="307"/>
      <c r="AA54" s="307"/>
      <c r="AB54" s="307"/>
      <c r="AC54" s="307"/>
      <c r="AH54" s="307"/>
      <c r="AI54" s="307"/>
      <c r="AJ54" s="307"/>
      <c r="AK54" s="307"/>
      <c r="AL54" s="307"/>
      <c r="AM54" s="307"/>
      <c r="AN54" s="366"/>
    </row>
    <row r="55" spans="1:40" ht="65.25" x14ac:dyDescent="0.2">
      <c r="A55" s="211" t="s">
        <v>386</v>
      </c>
      <c r="T55" s="555" t="s">
        <v>586</v>
      </c>
      <c r="U55" s="555" t="s">
        <v>577</v>
      </c>
    </row>
    <row r="56" spans="1:40" outlineLevel="1" x14ac:dyDescent="0.2">
      <c r="A56" s="109"/>
      <c r="T56" s="558" t="s">
        <v>106</v>
      </c>
      <c r="U56" s="556">
        <v>0.34686971235194586</v>
      </c>
    </row>
    <row r="57" spans="1:40" outlineLevel="1" x14ac:dyDescent="0.2">
      <c r="T57" s="558" t="s">
        <v>420</v>
      </c>
      <c r="U57" s="556">
        <v>0</v>
      </c>
    </row>
    <row r="58" spans="1:40" outlineLevel="1" x14ac:dyDescent="0.2">
      <c r="T58" s="558" t="s">
        <v>437</v>
      </c>
      <c r="U58" s="556">
        <v>0.10829103214890017</v>
      </c>
    </row>
    <row r="59" spans="1:40" outlineLevel="1" x14ac:dyDescent="0.2">
      <c r="T59" s="558" t="s">
        <v>416</v>
      </c>
      <c r="U59" s="556">
        <v>0.13874788494077833</v>
      </c>
    </row>
    <row r="60" spans="1:40" outlineLevel="1" x14ac:dyDescent="0.2">
      <c r="T60" s="558" t="s">
        <v>417</v>
      </c>
      <c r="U60" s="556">
        <v>0</v>
      </c>
    </row>
    <row r="61" spans="1:40" outlineLevel="1" x14ac:dyDescent="0.2">
      <c r="T61" s="558" t="s">
        <v>107</v>
      </c>
      <c r="U61" s="556">
        <v>0.1551043429216018</v>
      </c>
    </row>
    <row r="62" spans="1:40" outlineLevel="1" x14ac:dyDescent="0.2">
      <c r="T62" s="558" t="s">
        <v>108</v>
      </c>
      <c r="U62" s="556">
        <v>2.7072758037225041E-2</v>
      </c>
    </row>
    <row r="63" spans="1:40" outlineLevel="1" x14ac:dyDescent="0.2">
      <c r="T63" s="558" t="s">
        <v>347</v>
      </c>
      <c r="U63" s="556">
        <v>5.4145516074450083E-2</v>
      </c>
    </row>
    <row r="64" spans="1:40" outlineLevel="1" x14ac:dyDescent="0.2">
      <c r="T64" s="558" t="s">
        <v>348</v>
      </c>
      <c r="U64" s="556">
        <v>6.2041737168640719E-2</v>
      </c>
    </row>
    <row r="65" spans="20:21" outlineLevel="1" x14ac:dyDescent="0.2">
      <c r="T65" s="558" t="s">
        <v>349</v>
      </c>
      <c r="U65" s="556">
        <v>4.3429216018048507E-2</v>
      </c>
    </row>
    <row r="66" spans="20:21" outlineLevel="1" x14ac:dyDescent="0.2">
      <c r="T66" s="558" t="s">
        <v>109</v>
      </c>
      <c r="U66" s="556">
        <v>2.1432600112803159E-2</v>
      </c>
    </row>
    <row r="67" spans="20:21" outlineLevel="1" x14ac:dyDescent="0.2">
      <c r="T67" s="558" t="s">
        <v>110</v>
      </c>
      <c r="U67" s="556">
        <v>4.2865200225606317E-2</v>
      </c>
    </row>
    <row r="68" spans="20:21" x14ac:dyDescent="0.2">
      <c r="T68" s="560" t="s">
        <v>112</v>
      </c>
      <c r="U68" s="557">
        <v>1</v>
      </c>
    </row>
  </sheetData>
  <customSheetViews>
    <customSheetView guid="{0879B2E0-1447-4BF4-B278-DFA3BD4BF3E7}" showPageBreaks="1" fitToPage="1" printArea="1" hiddenColumns="1" view="pageBreakPreview" topLeftCell="A10">
      <selection activeCell="P32" sqref="P32"/>
      <pageMargins left="0.7" right="0.7" top="0.75" bottom="0.75" header="0.3" footer="0.3"/>
      <pageSetup paperSize="9" scale="60" orientation="landscape" r:id="rId1"/>
    </customSheetView>
    <customSheetView guid="{B24A12A4-9623-4099-956E-0B4C7C8D3F73}" scale="85" showPageBreaks="1" fitToPage="1" printArea="1" hiddenColumns="1" view="pageBreakPreview">
      <selection activeCell="D3" sqref="D3"/>
      <pageMargins left="0.7" right="0.7" top="0.75" bottom="0.75" header="0.3" footer="0.3"/>
      <pageSetup paperSize="9" scale="60" orientation="landscape" r:id="rId2"/>
    </customSheetView>
    <customSheetView guid="{93BA635E-1664-4099-8295-6B100E16362A}" scale="85" showPageBreaks="1" fitToPage="1" printArea="1" hiddenColumns="1" view="pageBreakPreview">
      <selection activeCell="D3" sqref="D3"/>
      <pageMargins left="0.7" right="0.7" top="0.75" bottom="0.75" header="0.3" footer="0.3"/>
      <pageSetup paperSize="9" scale="60" orientation="landscape" r:id="rId3"/>
    </customSheetView>
  </customSheetViews>
  <hyperlinks>
    <hyperlink ref="AN2" location="MENU!A1" display="MENU"/>
  </hyperlinks>
  <pageMargins left="0.7" right="0.7" top="0.75" bottom="0.75" header="0.3" footer="0.3"/>
  <pageSetup paperSize="9" scale="47" orientation="landscape" r:id="rId4"/>
  <customProperties>
    <customPr name="_pios_id" r:id="rId5"/>
    <customPr name="CofWorksheetType" r:id="rId6"/>
    <customPr name="EpmWorksheetKeyString_GUID" r:id="rId7"/>
  </customProperties>
  <drawing r:id="rId8"/>
  <legacyDrawing r:id="rId9"/>
  <legacyDrawingHF r:id="rId10"/>
  <controls>
    <mc:AlternateContent xmlns:mc="http://schemas.openxmlformats.org/markup-compatibility/2006">
      <mc:Choice Requires="x14">
        <control shapeId="438273" r:id="rId11" name="FPMExcelClientSheetOptionstb1">
          <controlPr defaultSize="0" autoLine="0" r:id="rId12">
            <anchor moveWithCells="1" sizeWithCells="1">
              <from>
                <xdr:col>0</xdr:col>
                <xdr:colOff>0</xdr:colOff>
                <xdr:row>0</xdr:row>
                <xdr:rowOff>0</xdr:rowOff>
              </from>
              <to>
                <xdr:col>0</xdr:col>
                <xdr:colOff>0</xdr:colOff>
                <xdr:row>0</xdr:row>
                <xdr:rowOff>0</xdr:rowOff>
              </to>
            </anchor>
          </controlPr>
        </control>
      </mc:Choice>
      <mc:Fallback>
        <control shapeId="438273" r:id="rId11"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2">
    <tabColor rgb="FF236CB0"/>
    <pageSetUpPr fitToPage="1"/>
  </sheetPr>
  <dimension ref="A1:AV62"/>
  <sheetViews>
    <sheetView view="pageBreakPreview" zoomScaleNormal="85" zoomScaleSheetLayoutView="100" workbookViewId="0">
      <selection sqref="A1:AM62"/>
    </sheetView>
  </sheetViews>
  <sheetFormatPr defaultColWidth="8.85546875" defaultRowHeight="12.75" outlineLevelRow="1" outlineLevelCol="1" x14ac:dyDescent="0.2"/>
  <cols>
    <col min="1" max="1" width="60.7109375" style="22" customWidth="1"/>
    <col min="2" max="19" width="7.7109375" style="228" customWidth="1"/>
    <col min="20" max="21" width="9" style="228" customWidth="1"/>
    <col min="22" max="39" width="10.7109375" style="228" hidden="1" customWidth="1" outlineLevel="1"/>
    <col min="40" max="40" width="11.7109375" style="22" bestFit="1" customWidth="1" collapsed="1"/>
    <col min="41" max="16384" width="8.85546875" style="22"/>
  </cols>
  <sheetData>
    <row r="1" spans="1:48" ht="30" customHeight="1" thickBot="1" x14ac:dyDescent="0.25">
      <c r="A1" s="413" t="s">
        <v>633</v>
      </c>
      <c r="B1" s="414"/>
      <c r="C1" s="414"/>
      <c r="D1" s="414"/>
      <c r="E1" s="414"/>
      <c r="F1" s="414"/>
      <c r="G1" s="414"/>
      <c r="H1" s="414"/>
      <c r="I1" s="414"/>
      <c r="J1" s="414"/>
      <c r="K1" s="414"/>
      <c r="L1" s="414"/>
      <c r="M1" s="414"/>
      <c r="N1" s="414"/>
      <c r="O1" s="414"/>
      <c r="P1" s="414"/>
      <c r="Q1" s="414"/>
      <c r="R1" s="414"/>
      <c r="S1" s="439"/>
      <c r="T1" s="439"/>
      <c r="U1" s="415"/>
      <c r="V1" s="113"/>
      <c r="W1" s="113"/>
      <c r="X1" s="113"/>
      <c r="Y1" s="113"/>
      <c r="Z1" s="113"/>
      <c r="AA1" s="113"/>
      <c r="AB1" s="113"/>
      <c r="AC1" s="113"/>
      <c r="AD1" s="113"/>
      <c r="AE1" s="212"/>
      <c r="AF1" s="212"/>
      <c r="AG1" s="212"/>
      <c r="AH1" s="113"/>
      <c r="AI1" s="113"/>
      <c r="AJ1" s="212"/>
      <c r="AK1" s="212"/>
      <c r="AL1" s="212"/>
      <c r="AM1" s="212"/>
    </row>
    <row r="2" spans="1:48" s="20" customFormat="1" ht="30" customHeight="1" thickBot="1" x14ac:dyDescent="0.3">
      <c r="A2" s="408" t="s">
        <v>177</v>
      </c>
      <c r="B2" s="23">
        <v>2009</v>
      </c>
      <c r="C2" s="23" t="s">
        <v>208</v>
      </c>
      <c r="D2" s="23">
        <v>2010</v>
      </c>
      <c r="E2" s="23" t="s">
        <v>209</v>
      </c>
      <c r="F2" s="23">
        <v>2011</v>
      </c>
      <c r="G2" s="23" t="s">
        <v>210</v>
      </c>
      <c r="H2" s="23">
        <v>2012</v>
      </c>
      <c r="I2" s="23" t="s">
        <v>211</v>
      </c>
      <c r="J2" s="23">
        <v>2013</v>
      </c>
      <c r="K2" s="23" t="s">
        <v>212</v>
      </c>
      <c r="L2" s="23">
        <v>2014</v>
      </c>
      <c r="M2" s="23" t="s">
        <v>213</v>
      </c>
      <c r="N2" s="23">
        <v>2015</v>
      </c>
      <c r="O2" s="23" t="s">
        <v>343</v>
      </c>
      <c r="P2" s="23">
        <v>2016</v>
      </c>
      <c r="Q2" s="23" t="s">
        <v>405</v>
      </c>
      <c r="R2" s="23">
        <v>2017</v>
      </c>
      <c r="S2" s="23" t="s">
        <v>431</v>
      </c>
      <c r="T2" s="23">
        <v>2018</v>
      </c>
      <c r="U2" s="404" t="s">
        <v>577</v>
      </c>
      <c r="V2" s="23" t="s">
        <v>219</v>
      </c>
      <c r="W2" s="23" t="s">
        <v>220</v>
      </c>
      <c r="X2" s="23" t="s">
        <v>221</v>
      </c>
      <c r="Y2" s="23" t="s">
        <v>222</v>
      </c>
      <c r="Z2" s="23" t="s">
        <v>223</v>
      </c>
      <c r="AA2" s="23" t="s">
        <v>224</v>
      </c>
      <c r="AB2" s="23" t="s">
        <v>225</v>
      </c>
      <c r="AC2" s="23" t="s">
        <v>226</v>
      </c>
      <c r="AD2" s="23" t="s">
        <v>227</v>
      </c>
      <c r="AE2" s="23" t="s">
        <v>228</v>
      </c>
      <c r="AF2" s="23" t="s">
        <v>337</v>
      </c>
      <c r="AG2" s="23" t="s">
        <v>342</v>
      </c>
      <c r="AH2" s="23" t="s">
        <v>368</v>
      </c>
      <c r="AI2" s="23" t="s">
        <v>409</v>
      </c>
      <c r="AJ2" s="346" t="s">
        <v>419</v>
      </c>
      <c r="AK2" s="23" t="s">
        <v>435</v>
      </c>
      <c r="AL2" s="23" t="s">
        <v>490</v>
      </c>
      <c r="AM2" s="23" t="s">
        <v>588</v>
      </c>
      <c r="AN2" s="116" t="s">
        <v>215</v>
      </c>
    </row>
    <row r="3" spans="1:48" ht="15" customHeight="1" x14ac:dyDescent="0.25">
      <c r="A3" s="120" t="s">
        <v>68</v>
      </c>
      <c r="B3" s="221"/>
      <c r="C3" s="221"/>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563"/>
    </row>
    <row r="4" spans="1:48" ht="15" customHeight="1" outlineLevel="1" x14ac:dyDescent="0.2">
      <c r="A4" s="133" t="s">
        <v>229</v>
      </c>
      <c r="B4" s="318">
        <v>11017</v>
      </c>
      <c r="C4" s="318">
        <v>10918</v>
      </c>
      <c r="D4" s="200">
        <v>9153</v>
      </c>
      <c r="E4" s="200">
        <v>10383</v>
      </c>
      <c r="F4" s="200">
        <v>9585</v>
      </c>
      <c r="G4" s="200">
        <v>10137</v>
      </c>
      <c r="H4" s="200">
        <v>11927</v>
      </c>
      <c r="I4" s="318">
        <v>11502</v>
      </c>
      <c r="J4" s="318">
        <v>11222</v>
      </c>
      <c r="K4" s="318">
        <v>11134</v>
      </c>
      <c r="L4" s="318">
        <v>7011</v>
      </c>
      <c r="M4" s="318">
        <v>7587</v>
      </c>
      <c r="N4" s="318">
        <v>6392</v>
      </c>
      <c r="O4" s="318">
        <v>7817</v>
      </c>
      <c r="P4" s="318">
        <v>9306</v>
      </c>
      <c r="Q4" s="318">
        <v>9781</v>
      </c>
      <c r="R4" s="200">
        <v>10960</v>
      </c>
      <c r="S4" s="200">
        <v>10336</v>
      </c>
      <c r="T4" s="200">
        <v>9934</v>
      </c>
      <c r="U4" s="200">
        <v>11236</v>
      </c>
      <c r="V4" s="215">
        <v>-0.16919306526277567</v>
      </c>
      <c r="W4" s="215">
        <v>-4.9001648653599572E-2</v>
      </c>
      <c r="X4" s="215">
        <v>4.71976401179941E-2</v>
      </c>
      <c r="Y4" s="215">
        <v>-2.3692574400462241E-2</v>
      </c>
      <c r="Z4" s="215">
        <v>0.24434011476265005</v>
      </c>
      <c r="AA4" s="215">
        <v>0.13465522343888714</v>
      </c>
      <c r="AB4" s="215">
        <v>-5.9109583298398549E-2</v>
      </c>
      <c r="AC4" s="215">
        <v>-3.1994435750304251E-2</v>
      </c>
      <c r="AD4" s="215">
        <v>-0.37524505435751199</v>
      </c>
      <c r="AE4" s="215">
        <v>-0.31857373809951495</v>
      </c>
      <c r="AF4" s="215">
        <v>-8.8289830266723768E-2</v>
      </c>
      <c r="AG4" s="215">
        <v>3.0315012521418216E-2</v>
      </c>
      <c r="AH4" s="215">
        <v>0.45588235294117641</v>
      </c>
      <c r="AI4" s="215">
        <v>0.25124728156581799</v>
      </c>
      <c r="AJ4" s="215">
        <v>0.17773479475607146</v>
      </c>
      <c r="AK4" s="119">
        <v>5.6742664349248573E-2</v>
      </c>
      <c r="AL4" s="29">
        <v>-9.3613138686131414E-2</v>
      </c>
      <c r="AM4" s="29">
        <v>8.7074303405572762E-2</v>
      </c>
      <c r="AN4" s="30"/>
    </row>
    <row r="5" spans="1:48" ht="15" customHeight="1" outlineLevel="1" x14ac:dyDescent="0.2">
      <c r="A5" s="133" t="s">
        <v>69</v>
      </c>
      <c r="B5" s="318">
        <v>1200</v>
      </c>
      <c r="C5" s="318">
        <v>1163</v>
      </c>
      <c r="D5" s="200">
        <v>21</v>
      </c>
      <c r="E5" s="200">
        <v>23</v>
      </c>
      <c r="F5" s="200"/>
      <c r="G5" s="200">
        <v>20</v>
      </c>
      <c r="H5" s="200"/>
      <c r="I5" s="318"/>
      <c r="J5" s="318"/>
      <c r="K5" s="318"/>
      <c r="L5" s="318">
        <v>0</v>
      </c>
      <c r="M5" s="318"/>
      <c r="N5" s="318"/>
      <c r="O5" s="318"/>
      <c r="P5" s="318"/>
      <c r="Q5" s="318"/>
      <c r="R5" s="200"/>
      <c r="S5" s="200"/>
      <c r="T5" s="200"/>
      <c r="U5" s="200"/>
      <c r="V5" s="215"/>
      <c r="W5" s="215"/>
      <c r="X5" s="215"/>
      <c r="Y5" s="215"/>
      <c r="Z5" s="215"/>
      <c r="AA5" s="215"/>
      <c r="AB5" s="215"/>
      <c r="AC5" s="215"/>
      <c r="AD5" s="215"/>
      <c r="AE5" s="215"/>
      <c r="AF5" s="215"/>
      <c r="AG5" s="215"/>
      <c r="AH5" s="215"/>
      <c r="AI5" s="215"/>
      <c r="AJ5" s="215"/>
      <c r="AK5" s="215"/>
      <c r="AL5" s="215"/>
      <c r="AM5" s="29"/>
      <c r="AN5" s="30"/>
    </row>
    <row r="6" spans="1:48" ht="15" customHeight="1" outlineLevel="1" x14ac:dyDescent="0.2">
      <c r="A6" s="133" t="s">
        <v>70</v>
      </c>
      <c r="B6" s="318">
        <v>204</v>
      </c>
      <c r="C6" s="318">
        <v>193</v>
      </c>
      <c r="D6" s="200">
        <v>195</v>
      </c>
      <c r="E6" s="200">
        <v>208</v>
      </c>
      <c r="F6" s="200">
        <v>72</v>
      </c>
      <c r="G6" s="200">
        <v>69</v>
      </c>
      <c r="H6" s="200">
        <v>74</v>
      </c>
      <c r="I6" s="318">
        <v>66</v>
      </c>
      <c r="J6" s="318">
        <v>58</v>
      </c>
      <c r="K6" s="318">
        <v>58</v>
      </c>
      <c r="L6" s="318">
        <v>43</v>
      </c>
      <c r="M6" s="318">
        <v>44</v>
      </c>
      <c r="N6" s="318">
        <v>50</v>
      </c>
      <c r="O6" s="318">
        <v>64</v>
      </c>
      <c r="P6" s="318">
        <v>94</v>
      </c>
      <c r="Q6" s="318">
        <v>103</v>
      </c>
      <c r="R6" s="200">
        <v>148</v>
      </c>
      <c r="S6" s="200">
        <v>154</v>
      </c>
      <c r="T6" s="200">
        <v>163</v>
      </c>
      <c r="U6" s="200">
        <v>185</v>
      </c>
      <c r="V6" s="215">
        <v>-4.4117647058823484E-2</v>
      </c>
      <c r="W6" s="215">
        <v>7.7720207253886064E-2</v>
      </c>
      <c r="X6" s="215">
        <v>-0.63076923076923075</v>
      </c>
      <c r="Y6" s="215">
        <v>-0.66826923076923084</v>
      </c>
      <c r="Z6" s="215">
        <v>2.7777777777777679E-2</v>
      </c>
      <c r="AA6" s="215">
        <v>-4.3478260869565188E-2</v>
      </c>
      <c r="AB6" s="215">
        <v>-0.21621621621621623</v>
      </c>
      <c r="AC6" s="215">
        <v>-0.12121212121212122</v>
      </c>
      <c r="AD6" s="215">
        <v>-0.25862068965517238</v>
      </c>
      <c r="AE6" s="215">
        <v>-0.24137931034482762</v>
      </c>
      <c r="AF6" s="215">
        <v>0.16279069767441867</v>
      </c>
      <c r="AG6" s="215">
        <v>0.45454545454545459</v>
      </c>
      <c r="AH6" s="215">
        <v>0.87999999999999989</v>
      </c>
      <c r="AI6" s="215">
        <v>0.609375</v>
      </c>
      <c r="AJ6" s="215">
        <v>0.57446808510638303</v>
      </c>
      <c r="AK6" s="215">
        <v>0.49514563106796117</v>
      </c>
      <c r="AL6" s="215">
        <v>0.10135135135135132</v>
      </c>
      <c r="AM6" s="215">
        <v>0.20129870129870131</v>
      </c>
      <c r="AN6" s="30"/>
      <c r="AO6" s="43"/>
      <c r="AQ6" s="43"/>
      <c r="AR6" s="43"/>
      <c r="AS6" s="43"/>
      <c r="AT6" s="43"/>
      <c r="AU6" s="43"/>
      <c r="AV6" s="43"/>
    </row>
    <row r="7" spans="1:48" ht="15" customHeight="1" outlineLevel="1" x14ac:dyDescent="0.2">
      <c r="A7" s="133" t="s">
        <v>71</v>
      </c>
      <c r="B7" s="318"/>
      <c r="C7" s="318"/>
      <c r="D7" s="200"/>
      <c r="E7" s="200"/>
      <c r="F7" s="200"/>
      <c r="G7" s="200"/>
      <c r="H7" s="200"/>
      <c r="I7" s="318"/>
      <c r="J7" s="318"/>
      <c r="K7" s="318"/>
      <c r="L7" s="318"/>
      <c r="M7" s="318">
        <v>115.30309798270892</v>
      </c>
      <c r="N7" s="318">
        <v>83</v>
      </c>
      <c r="O7" s="318">
        <v>91</v>
      </c>
      <c r="P7" s="318">
        <v>0</v>
      </c>
      <c r="Q7" s="318">
        <v>0</v>
      </c>
      <c r="R7" s="200">
        <v>0</v>
      </c>
      <c r="S7" s="200">
        <v>0</v>
      </c>
      <c r="T7" s="200">
        <v>0</v>
      </c>
      <c r="U7" s="200">
        <v>0</v>
      </c>
      <c r="V7" s="215"/>
      <c r="W7" s="215"/>
      <c r="X7" s="215"/>
      <c r="Y7" s="215"/>
      <c r="Z7" s="215"/>
      <c r="AA7" s="215"/>
      <c r="AB7" s="215"/>
      <c r="AC7" s="215"/>
      <c r="AD7" s="215"/>
      <c r="AE7" s="215"/>
      <c r="AF7" s="215"/>
      <c r="AG7" s="215"/>
      <c r="AH7" s="215"/>
      <c r="AI7" s="215"/>
      <c r="AJ7" s="215"/>
      <c r="AK7" s="215"/>
      <c r="AL7" s="215"/>
      <c r="AM7" s="215"/>
      <c r="AN7" s="30"/>
    </row>
    <row r="8" spans="1:48" ht="15" customHeight="1" outlineLevel="1" x14ac:dyDescent="0.2">
      <c r="A8" s="133" t="s">
        <v>72</v>
      </c>
      <c r="B8" s="318">
        <v>880</v>
      </c>
      <c r="C8" s="318">
        <v>876</v>
      </c>
      <c r="D8" s="200">
        <v>515</v>
      </c>
      <c r="E8" s="200">
        <v>508</v>
      </c>
      <c r="F8" s="200">
        <v>407</v>
      </c>
      <c r="G8" s="200">
        <v>400</v>
      </c>
      <c r="H8" s="200">
        <v>329</v>
      </c>
      <c r="I8" s="318">
        <v>269</v>
      </c>
      <c r="J8" s="318">
        <v>29</v>
      </c>
      <c r="K8" s="318">
        <v>29</v>
      </c>
      <c r="L8" s="318">
        <v>17</v>
      </c>
      <c r="M8" s="318">
        <v>17</v>
      </c>
      <c r="N8" s="318">
        <v>0</v>
      </c>
      <c r="O8" s="318">
        <v>0</v>
      </c>
      <c r="P8" s="318">
        <v>0</v>
      </c>
      <c r="Q8" s="318">
        <v>0</v>
      </c>
      <c r="R8" s="200">
        <v>0</v>
      </c>
      <c r="S8" s="200">
        <v>0</v>
      </c>
      <c r="T8" s="200">
        <v>0</v>
      </c>
      <c r="U8" s="200">
        <v>0</v>
      </c>
      <c r="V8" s="215">
        <v>-0.41477272727272729</v>
      </c>
      <c r="W8" s="215">
        <v>-0.42009132420091322</v>
      </c>
      <c r="X8" s="215">
        <v>-0.20970873786407762</v>
      </c>
      <c r="Y8" s="215">
        <v>-0.21259842519685035</v>
      </c>
      <c r="Z8" s="215">
        <v>-0.19164619164619168</v>
      </c>
      <c r="AA8" s="215">
        <v>-0.32750000000000001</v>
      </c>
      <c r="AB8" s="215">
        <v>-0.91185410334346506</v>
      </c>
      <c r="AC8" s="215">
        <v>-0.89219330855018586</v>
      </c>
      <c r="AD8" s="215">
        <v>-0.41379310344827591</v>
      </c>
      <c r="AE8" s="215">
        <v>-0.41379310344827591</v>
      </c>
      <c r="AF8" s="215">
        <v>-1</v>
      </c>
      <c r="AG8" s="215">
        <v>-1</v>
      </c>
      <c r="AH8" s="215">
        <v>0</v>
      </c>
      <c r="AI8" s="215">
        <v>0</v>
      </c>
      <c r="AJ8" s="215">
        <v>0</v>
      </c>
      <c r="AK8" s="215"/>
      <c r="AL8" s="215"/>
      <c r="AM8" s="215"/>
      <c r="AN8" s="30"/>
      <c r="AO8" s="43"/>
      <c r="AQ8" s="43"/>
      <c r="AR8" s="43"/>
      <c r="AS8" s="43"/>
      <c r="AT8" s="43"/>
      <c r="AU8" s="43"/>
      <c r="AV8" s="43"/>
    </row>
    <row r="9" spans="1:48" ht="15" customHeight="1" outlineLevel="1" x14ac:dyDescent="0.2">
      <c r="A9" s="133" t="s">
        <v>73</v>
      </c>
      <c r="B9" s="318">
        <v>918</v>
      </c>
      <c r="C9" s="318">
        <v>1075</v>
      </c>
      <c r="D9" s="200">
        <v>881</v>
      </c>
      <c r="E9" s="200">
        <v>2499</v>
      </c>
      <c r="F9" s="200">
        <v>2018</v>
      </c>
      <c r="G9" s="200">
        <v>1542</v>
      </c>
      <c r="H9" s="200">
        <v>1587</v>
      </c>
      <c r="I9" s="318">
        <v>879</v>
      </c>
      <c r="J9" s="318">
        <v>738</v>
      </c>
      <c r="K9" s="318">
        <v>616</v>
      </c>
      <c r="L9" s="318">
        <v>204</v>
      </c>
      <c r="M9" s="318">
        <v>277</v>
      </c>
      <c r="N9" s="318">
        <v>62</v>
      </c>
      <c r="O9" s="318">
        <v>254</v>
      </c>
      <c r="P9" s="318">
        <v>190</v>
      </c>
      <c r="Q9" s="318">
        <v>179</v>
      </c>
      <c r="R9" s="200">
        <v>192</v>
      </c>
      <c r="S9" s="200">
        <v>201</v>
      </c>
      <c r="T9" s="200">
        <v>141</v>
      </c>
      <c r="U9" s="200">
        <v>201</v>
      </c>
      <c r="V9" s="215">
        <v>-4.0305010893246229E-2</v>
      </c>
      <c r="W9" s="215">
        <v>1.3246511627906976</v>
      </c>
      <c r="X9" s="215">
        <v>1.2905788876276958</v>
      </c>
      <c r="Y9" s="215">
        <v>-0.38295318127250899</v>
      </c>
      <c r="Z9" s="215">
        <v>-0.21357779980178393</v>
      </c>
      <c r="AA9" s="215">
        <v>-0.42996108949416345</v>
      </c>
      <c r="AB9" s="215">
        <v>-0.53497164461247637</v>
      </c>
      <c r="AC9" s="215">
        <v>-0.2992036405005688</v>
      </c>
      <c r="AD9" s="215">
        <v>-0.72357723577235777</v>
      </c>
      <c r="AE9" s="215">
        <v>-0.55032467532467533</v>
      </c>
      <c r="AF9" s="215">
        <v>-0.69607843137254899</v>
      </c>
      <c r="AG9" s="215">
        <v>-8.3032490974729201E-2</v>
      </c>
      <c r="AH9" s="215">
        <v>2.064516129032258</v>
      </c>
      <c r="AI9" s="215">
        <v>-0.29527559055118113</v>
      </c>
      <c r="AJ9" s="215">
        <v>1.0526315789473717E-2</v>
      </c>
      <c r="AK9" s="215">
        <v>0.12290502793296088</v>
      </c>
      <c r="AL9" s="215">
        <v>-0.265625</v>
      </c>
      <c r="AM9" s="215">
        <v>0</v>
      </c>
      <c r="AN9" s="30"/>
    </row>
    <row r="10" spans="1:48" ht="15" customHeight="1" outlineLevel="1" x14ac:dyDescent="0.2">
      <c r="A10" s="133" t="s">
        <v>74</v>
      </c>
      <c r="B10" s="318">
        <v>75</v>
      </c>
      <c r="C10" s="318">
        <v>106</v>
      </c>
      <c r="D10" s="200">
        <v>12</v>
      </c>
      <c r="E10" s="200">
        <v>23</v>
      </c>
      <c r="F10" s="200">
        <v>18</v>
      </c>
      <c r="G10" s="200">
        <v>65</v>
      </c>
      <c r="H10" s="200">
        <v>5</v>
      </c>
      <c r="I10" s="318">
        <v>7</v>
      </c>
      <c r="J10" s="318">
        <v>14</v>
      </c>
      <c r="K10" s="318">
        <v>16</v>
      </c>
      <c r="L10" s="318">
        <v>6</v>
      </c>
      <c r="M10" s="318">
        <v>0</v>
      </c>
      <c r="N10" s="318">
        <v>0</v>
      </c>
      <c r="O10" s="318">
        <v>2</v>
      </c>
      <c r="P10" s="318">
        <v>2</v>
      </c>
      <c r="Q10" s="318">
        <v>1</v>
      </c>
      <c r="R10" s="200">
        <v>1</v>
      </c>
      <c r="S10" s="200">
        <v>0</v>
      </c>
      <c r="T10" s="200">
        <v>0</v>
      </c>
      <c r="U10" s="200"/>
      <c r="V10" s="215">
        <v>-0.84</v>
      </c>
      <c r="W10" s="215">
        <v>-0.78301886792452824</v>
      </c>
      <c r="X10" s="215">
        <v>0.5</v>
      </c>
      <c r="Y10" s="215">
        <v>1.8260869565217392</v>
      </c>
      <c r="Z10" s="215">
        <v>-0.72222222222222221</v>
      </c>
      <c r="AA10" s="215">
        <v>-0.89230769230769225</v>
      </c>
      <c r="AB10" s="215">
        <v>1.7999999999999998</v>
      </c>
      <c r="AC10" s="215">
        <v>1.2857142857142856</v>
      </c>
      <c r="AD10" s="215">
        <v>-0.5714285714285714</v>
      </c>
      <c r="AE10" s="215">
        <v>-1</v>
      </c>
      <c r="AF10" s="215">
        <v>-1</v>
      </c>
      <c r="AG10" s="215">
        <v>0</v>
      </c>
      <c r="AH10" s="215">
        <v>0</v>
      </c>
      <c r="AI10" s="215">
        <v>-0.5</v>
      </c>
      <c r="AJ10" s="215">
        <v>-0.5</v>
      </c>
      <c r="AK10" s="215">
        <v>-1</v>
      </c>
      <c r="AL10" s="215">
        <v>-1</v>
      </c>
      <c r="AM10" s="215"/>
      <c r="AN10" s="30"/>
    </row>
    <row r="11" spans="1:48" ht="15" customHeight="1" outlineLevel="1" x14ac:dyDescent="0.2">
      <c r="A11" s="133" t="s">
        <v>75</v>
      </c>
      <c r="B11" s="318">
        <v>58</v>
      </c>
      <c r="C11" s="318">
        <v>77</v>
      </c>
      <c r="D11" s="200">
        <v>86</v>
      </c>
      <c r="E11" s="200">
        <v>77</v>
      </c>
      <c r="F11" s="200">
        <v>112</v>
      </c>
      <c r="G11" s="200">
        <v>88</v>
      </c>
      <c r="H11" s="200">
        <v>68</v>
      </c>
      <c r="I11" s="318">
        <v>64</v>
      </c>
      <c r="J11" s="318">
        <v>26</v>
      </c>
      <c r="K11" s="318">
        <v>52</v>
      </c>
      <c r="L11" s="318">
        <v>53</v>
      </c>
      <c r="M11" s="318">
        <v>39</v>
      </c>
      <c r="N11" s="318">
        <v>42</v>
      </c>
      <c r="O11" s="318">
        <v>42</v>
      </c>
      <c r="P11" s="318">
        <v>72</v>
      </c>
      <c r="Q11" s="318">
        <v>60</v>
      </c>
      <c r="R11" s="200">
        <v>77</v>
      </c>
      <c r="S11" s="200">
        <v>77</v>
      </c>
      <c r="T11" s="200">
        <v>73</v>
      </c>
      <c r="U11" s="200">
        <v>79</v>
      </c>
      <c r="V11" s="215">
        <v>0.48275862068965525</v>
      </c>
      <c r="W11" s="215">
        <v>0</v>
      </c>
      <c r="X11" s="215">
        <v>0.30232558139534893</v>
      </c>
      <c r="Y11" s="215">
        <v>0.14285714285714279</v>
      </c>
      <c r="Z11" s="215">
        <v>-0.3928571428571429</v>
      </c>
      <c r="AA11" s="215">
        <v>-0.27272727272727271</v>
      </c>
      <c r="AB11" s="215">
        <v>-0.61764705882352944</v>
      </c>
      <c r="AC11" s="215">
        <v>-0.1875</v>
      </c>
      <c r="AD11" s="215">
        <v>1.0384615384615383</v>
      </c>
      <c r="AE11" s="215">
        <v>-0.25</v>
      </c>
      <c r="AF11" s="215">
        <v>-0.20754716981132071</v>
      </c>
      <c r="AG11" s="215">
        <v>7.6923076923076872E-2</v>
      </c>
      <c r="AH11" s="215">
        <v>0.71428571428571419</v>
      </c>
      <c r="AI11" s="215">
        <v>0.4285714285714286</v>
      </c>
      <c r="AJ11" s="215">
        <v>6.944444444444442E-2</v>
      </c>
      <c r="AK11" s="215">
        <v>0.28333333333333344</v>
      </c>
      <c r="AL11" s="215">
        <v>-5.1948051948051965E-2</v>
      </c>
      <c r="AM11" s="215">
        <v>2.5974025974025983E-2</v>
      </c>
      <c r="AN11" s="30"/>
    </row>
    <row r="12" spans="1:48" ht="15" customHeight="1" outlineLevel="1" x14ac:dyDescent="0.2">
      <c r="A12" s="133" t="s">
        <v>76</v>
      </c>
      <c r="B12" s="318">
        <v>0</v>
      </c>
      <c r="C12" s="318">
        <v>0</v>
      </c>
      <c r="D12" s="200">
        <v>72</v>
      </c>
      <c r="E12" s="200">
        <v>110</v>
      </c>
      <c r="F12" s="200">
        <v>131</v>
      </c>
      <c r="G12" s="200">
        <v>128</v>
      </c>
      <c r="H12" s="200">
        <v>170</v>
      </c>
      <c r="I12" s="318">
        <v>177</v>
      </c>
      <c r="J12" s="318">
        <v>202</v>
      </c>
      <c r="K12" s="318">
        <v>215</v>
      </c>
      <c r="L12" s="318">
        <v>130</v>
      </c>
      <c r="M12" s="318">
        <v>142</v>
      </c>
      <c r="N12" s="318">
        <v>117</v>
      </c>
      <c r="O12" s="318">
        <v>157</v>
      </c>
      <c r="P12" s="318">
        <v>1013</v>
      </c>
      <c r="Q12" s="318">
        <v>994</v>
      </c>
      <c r="R12" s="200">
        <v>731</v>
      </c>
      <c r="S12" s="200">
        <v>545</v>
      </c>
      <c r="T12" s="200">
        <v>386</v>
      </c>
      <c r="U12" s="200">
        <v>326</v>
      </c>
      <c r="V12" s="215" t="s">
        <v>67</v>
      </c>
      <c r="W12" s="215" t="s">
        <v>67</v>
      </c>
      <c r="X12" s="215">
        <v>0.81944444444444442</v>
      </c>
      <c r="Y12" s="215">
        <v>0.16363636363636358</v>
      </c>
      <c r="Z12" s="215">
        <v>0.29770992366412208</v>
      </c>
      <c r="AA12" s="215">
        <v>0.3828125</v>
      </c>
      <c r="AB12" s="215">
        <v>0.18823529411764706</v>
      </c>
      <c r="AC12" s="215">
        <v>0.21468926553672318</v>
      </c>
      <c r="AD12" s="215">
        <v>-0.35643564356435642</v>
      </c>
      <c r="AE12" s="215">
        <v>-0.33953488372093021</v>
      </c>
      <c r="AF12" s="215">
        <v>-9.9999999999999978E-2</v>
      </c>
      <c r="AG12" s="215">
        <v>0.10563380281690149</v>
      </c>
      <c r="AH12" s="215">
        <v>7.6581196581196576</v>
      </c>
      <c r="AI12" s="215">
        <v>5.3312101910828025</v>
      </c>
      <c r="AJ12" s="215">
        <v>-0.27838104639684103</v>
      </c>
      <c r="AK12" s="215">
        <v>-0.45171026156941652</v>
      </c>
      <c r="AL12" s="215">
        <v>-0.47195622435020523</v>
      </c>
      <c r="AM12" s="215">
        <v>-0.40183486238532107</v>
      </c>
      <c r="AN12" s="30"/>
    </row>
    <row r="13" spans="1:48" ht="15" customHeight="1" x14ac:dyDescent="0.2">
      <c r="A13" s="120" t="s">
        <v>77</v>
      </c>
      <c r="B13" s="197">
        <v>14352</v>
      </c>
      <c r="C13" s="197">
        <v>14408</v>
      </c>
      <c r="D13" s="197">
        <v>10935</v>
      </c>
      <c r="E13" s="197">
        <v>13831</v>
      </c>
      <c r="F13" s="197">
        <v>12343</v>
      </c>
      <c r="G13" s="197">
        <v>12449</v>
      </c>
      <c r="H13" s="197">
        <v>14160</v>
      </c>
      <c r="I13" s="197">
        <v>12964</v>
      </c>
      <c r="J13" s="197">
        <v>12289</v>
      </c>
      <c r="K13" s="197">
        <v>12120</v>
      </c>
      <c r="L13" s="197">
        <v>7464</v>
      </c>
      <c r="M13" s="197">
        <v>8221.303097982709</v>
      </c>
      <c r="N13" s="197">
        <v>6746</v>
      </c>
      <c r="O13" s="197">
        <v>8427</v>
      </c>
      <c r="P13" s="197">
        <v>10677</v>
      </c>
      <c r="Q13" s="197">
        <v>11118</v>
      </c>
      <c r="R13" s="197">
        <v>12109</v>
      </c>
      <c r="S13" s="433">
        <v>11313</v>
      </c>
      <c r="T13" s="197">
        <v>10697</v>
      </c>
      <c r="U13" s="197">
        <v>12027</v>
      </c>
      <c r="V13" s="215">
        <v>-0.23808528428093645</v>
      </c>
      <c r="W13" s="215">
        <v>-4.0047196002220953E-2</v>
      </c>
      <c r="X13" s="215">
        <v>0.12876085962505712</v>
      </c>
      <c r="Y13" s="215">
        <v>-9.9920468512761151E-2</v>
      </c>
      <c r="Z13" s="215">
        <v>0.14720894434092191</v>
      </c>
      <c r="AA13" s="215">
        <v>4.1368784641336642E-2</v>
      </c>
      <c r="AB13" s="215">
        <v>-0.13213276836158194</v>
      </c>
      <c r="AC13" s="215">
        <v>-6.5103363159518701E-2</v>
      </c>
      <c r="AD13" s="215">
        <v>-0.39262755309626496</v>
      </c>
      <c r="AE13" s="215">
        <v>-0.32167466188261473</v>
      </c>
      <c r="AF13" s="215">
        <v>-9.6195069667738498E-2</v>
      </c>
      <c r="AG13" s="215">
        <v>2.501998765472635E-2</v>
      </c>
      <c r="AH13" s="215">
        <v>0.58271568336792168</v>
      </c>
      <c r="AI13" s="215">
        <v>0.31933072267710938</v>
      </c>
      <c r="AJ13" s="215">
        <v>0.1341200711810433</v>
      </c>
      <c r="AK13" s="215">
        <v>1.7539125742039863E-2</v>
      </c>
      <c r="AL13" s="215">
        <v>-0.11660748203815341</v>
      </c>
      <c r="AM13" s="215">
        <v>6.3113232564306454E-2</v>
      </c>
      <c r="AN13" s="30"/>
    </row>
    <row r="14" spans="1:48" ht="15" customHeight="1" outlineLevel="1" x14ac:dyDescent="0.2">
      <c r="A14" s="118" t="s">
        <v>78</v>
      </c>
      <c r="B14" s="318">
        <v>1990</v>
      </c>
      <c r="C14" s="318">
        <v>2197</v>
      </c>
      <c r="D14" s="200">
        <v>2246</v>
      </c>
      <c r="E14" s="200">
        <v>2763</v>
      </c>
      <c r="F14" s="200">
        <v>2623</v>
      </c>
      <c r="G14" s="200">
        <v>2985</v>
      </c>
      <c r="H14" s="200">
        <v>3197</v>
      </c>
      <c r="I14" s="318">
        <v>3195</v>
      </c>
      <c r="J14" s="318">
        <v>2955</v>
      </c>
      <c r="K14" s="318">
        <v>3017</v>
      </c>
      <c r="L14" s="318">
        <v>1726</v>
      </c>
      <c r="M14" s="318">
        <v>1773</v>
      </c>
      <c r="N14" s="318">
        <v>1698</v>
      </c>
      <c r="O14" s="318">
        <v>1921</v>
      </c>
      <c r="P14" s="318">
        <v>1912</v>
      </c>
      <c r="Q14" s="318">
        <v>2174</v>
      </c>
      <c r="R14" s="200">
        <v>2689</v>
      </c>
      <c r="S14" s="200">
        <v>2596</v>
      </c>
      <c r="T14" s="200">
        <v>2280</v>
      </c>
      <c r="U14" s="200">
        <v>2470</v>
      </c>
      <c r="V14" s="215">
        <v>0.12864321608040208</v>
      </c>
      <c r="W14" s="215">
        <v>0.25762403277196166</v>
      </c>
      <c r="X14" s="215">
        <v>0.16785396260017804</v>
      </c>
      <c r="Y14" s="215">
        <v>8.0347448425624357E-2</v>
      </c>
      <c r="Z14" s="215">
        <v>0.21883339687380854</v>
      </c>
      <c r="AA14" s="215">
        <v>7.0351758793969932E-2</v>
      </c>
      <c r="AB14" s="215">
        <v>-7.5695964967156693E-2</v>
      </c>
      <c r="AC14" s="215">
        <v>-5.571205007824731E-2</v>
      </c>
      <c r="AD14" s="215">
        <v>-0.41590524534686968</v>
      </c>
      <c r="AE14" s="215">
        <v>-0.41233012926748425</v>
      </c>
      <c r="AF14" s="215">
        <v>-1.6222479721900385E-2</v>
      </c>
      <c r="AG14" s="215">
        <v>8.3474337281443933E-2</v>
      </c>
      <c r="AH14" s="215">
        <v>0.12603062426383982</v>
      </c>
      <c r="AI14" s="215">
        <v>0.13170223841749085</v>
      </c>
      <c r="AJ14" s="215">
        <v>0.40638075313807542</v>
      </c>
      <c r="AK14" s="215">
        <v>0.19411223551057954</v>
      </c>
      <c r="AL14" s="215">
        <v>-0.15210115284492376</v>
      </c>
      <c r="AM14" s="215">
        <v>-4.8536209553158738E-2</v>
      </c>
      <c r="AN14" s="30"/>
    </row>
    <row r="15" spans="1:48" ht="15" customHeight="1" outlineLevel="1" x14ac:dyDescent="0.2">
      <c r="A15" s="118" t="s">
        <v>79</v>
      </c>
      <c r="B15" s="318">
        <v>978</v>
      </c>
      <c r="C15" s="318">
        <v>1111</v>
      </c>
      <c r="D15" s="200">
        <v>1175</v>
      </c>
      <c r="E15" s="200">
        <v>1191</v>
      </c>
      <c r="F15" s="200">
        <v>1032</v>
      </c>
      <c r="G15" s="200">
        <v>1108</v>
      </c>
      <c r="H15" s="200">
        <v>1063</v>
      </c>
      <c r="I15" s="318">
        <v>1181</v>
      </c>
      <c r="J15" s="318">
        <v>633</v>
      </c>
      <c r="K15" s="318">
        <v>610</v>
      </c>
      <c r="L15" s="318">
        <v>275</v>
      </c>
      <c r="M15" s="318">
        <v>181</v>
      </c>
      <c r="N15" s="318">
        <v>167</v>
      </c>
      <c r="O15" s="318">
        <v>178</v>
      </c>
      <c r="P15" s="318">
        <v>173</v>
      </c>
      <c r="Q15" s="318">
        <v>201</v>
      </c>
      <c r="R15" s="200">
        <v>327</v>
      </c>
      <c r="S15" s="200">
        <v>465</v>
      </c>
      <c r="T15" s="200">
        <v>204</v>
      </c>
      <c r="U15" s="200">
        <v>327</v>
      </c>
      <c r="V15" s="215">
        <v>0.20143149284253581</v>
      </c>
      <c r="W15" s="215">
        <v>7.2007200720072051E-2</v>
      </c>
      <c r="X15" s="215">
        <v>-0.12170212765957444</v>
      </c>
      <c r="Y15" s="215">
        <v>-6.9689336691855619E-2</v>
      </c>
      <c r="Z15" s="215">
        <v>3.0038759689922534E-2</v>
      </c>
      <c r="AA15" s="215">
        <v>6.5884476534296077E-2</v>
      </c>
      <c r="AB15" s="215">
        <v>-0.40451552210724362</v>
      </c>
      <c r="AC15" s="215">
        <v>-0.48348856900931414</v>
      </c>
      <c r="AD15" s="215">
        <v>-0.56556082148499209</v>
      </c>
      <c r="AE15" s="215">
        <v>-0.70327868852459019</v>
      </c>
      <c r="AF15" s="215">
        <v>-0.3927272727272727</v>
      </c>
      <c r="AG15" s="215">
        <v>-1.6574585635359074E-2</v>
      </c>
      <c r="AH15" s="215">
        <v>3.5928143712574911E-2</v>
      </c>
      <c r="AI15" s="215">
        <v>0.1292134831460674</v>
      </c>
      <c r="AJ15" s="215">
        <v>0.89017341040462439</v>
      </c>
      <c r="AK15" s="215">
        <v>1.3134328358208953</v>
      </c>
      <c r="AL15" s="215">
        <v>-0.37614678899082565</v>
      </c>
      <c r="AM15" s="215">
        <v>-0.29677419354838708</v>
      </c>
      <c r="AN15" s="30"/>
    </row>
    <row r="16" spans="1:48" ht="15" customHeight="1" outlineLevel="1" x14ac:dyDescent="0.2">
      <c r="A16" s="118" t="s">
        <v>80</v>
      </c>
      <c r="B16" s="318">
        <v>89</v>
      </c>
      <c r="C16" s="318">
        <v>123</v>
      </c>
      <c r="D16" s="200">
        <v>96</v>
      </c>
      <c r="E16" s="200">
        <v>127</v>
      </c>
      <c r="F16" s="200">
        <v>71</v>
      </c>
      <c r="G16" s="200">
        <v>121</v>
      </c>
      <c r="H16" s="200">
        <v>90</v>
      </c>
      <c r="I16" s="318">
        <v>137</v>
      </c>
      <c r="J16" s="318">
        <v>93</v>
      </c>
      <c r="K16" s="318">
        <v>114</v>
      </c>
      <c r="L16" s="318">
        <v>63</v>
      </c>
      <c r="M16" s="318">
        <v>83</v>
      </c>
      <c r="N16" s="318">
        <v>55</v>
      </c>
      <c r="O16" s="318">
        <v>115</v>
      </c>
      <c r="P16" s="318">
        <v>66</v>
      </c>
      <c r="Q16" s="318">
        <v>88</v>
      </c>
      <c r="R16" s="200">
        <v>71</v>
      </c>
      <c r="S16" s="200">
        <v>89</v>
      </c>
      <c r="T16" s="200">
        <v>75</v>
      </c>
      <c r="U16" s="200">
        <v>89</v>
      </c>
      <c r="V16" s="215">
        <v>7.8651685393258397E-2</v>
      </c>
      <c r="W16" s="215">
        <v>3.2520325203251987E-2</v>
      </c>
      <c r="X16" s="215">
        <v>-0.26041666666666663</v>
      </c>
      <c r="Y16" s="215">
        <v>-4.7244094488189003E-2</v>
      </c>
      <c r="Z16" s="215">
        <v>0.26760563380281699</v>
      </c>
      <c r="AA16" s="215">
        <v>0.13223140495867769</v>
      </c>
      <c r="AB16" s="215">
        <v>3.3333333333333437E-2</v>
      </c>
      <c r="AC16" s="215">
        <v>-0.16788321167883213</v>
      </c>
      <c r="AD16" s="215">
        <v>-0.32258064516129037</v>
      </c>
      <c r="AE16" s="215">
        <v>-0.27192982456140347</v>
      </c>
      <c r="AF16" s="215">
        <v>-0.12698412698412698</v>
      </c>
      <c r="AG16" s="215">
        <v>0.3855421686746987</v>
      </c>
      <c r="AH16" s="215">
        <v>0.19999999999999996</v>
      </c>
      <c r="AI16" s="215">
        <v>-0.23478260869565215</v>
      </c>
      <c r="AJ16" s="215">
        <v>7.575757575757569E-2</v>
      </c>
      <c r="AK16" s="215">
        <v>1.1363636363636465E-2</v>
      </c>
      <c r="AL16" s="215">
        <v>5.6338028169014009E-2</v>
      </c>
      <c r="AM16" s="215">
        <v>0</v>
      </c>
      <c r="AN16" s="30"/>
    </row>
    <row r="17" spans="1:41" ht="15" customHeight="1" outlineLevel="1" x14ac:dyDescent="0.2">
      <c r="A17" s="118" t="s">
        <v>73</v>
      </c>
      <c r="B17" s="318">
        <v>1098</v>
      </c>
      <c r="C17" s="318">
        <v>2031</v>
      </c>
      <c r="D17" s="200">
        <v>637</v>
      </c>
      <c r="E17" s="200">
        <v>1034</v>
      </c>
      <c r="F17" s="200">
        <v>153</v>
      </c>
      <c r="G17" s="200">
        <v>292</v>
      </c>
      <c r="H17" s="200">
        <v>255</v>
      </c>
      <c r="I17" s="318">
        <v>49</v>
      </c>
      <c r="J17" s="318">
        <v>26</v>
      </c>
      <c r="K17" s="318">
        <v>90</v>
      </c>
      <c r="L17" s="318">
        <v>87</v>
      </c>
      <c r="M17" s="318">
        <v>1</v>
      </c>
      <c r="N17" s="318">
        <v>1</v>
      </c>
      <c r="O17" s="318">
        <v>58</v>
      </c>
      <c r="P17" s="318">
        <v>8</v>
      </c>
      <c r="Q17" s="318">
        <v>50</v>
      </c>
      <c r="R17" s="200">
        <v>99</v>
      </c>
      <c r="S17" s="200">
        <v>62</v>
      </c>
      <c r="T17" s="200">
        <v>147</v>
      </c>
      <c r="U17" s="200">
        <v>69</v>
      </c>
      <c r="V17" s="215">
        <v>-0.41985428051001816</v>
      </c>
      <c r="W17" s="215">
        <v>-0.49089118660758246</v>
      </c>
      <c r="X17" s="215">
        <v>-0.75981161695447408</v>
      </c>
      <c r="Y17" s="215">
        <v>-0.71760154738878146</v>
      </c>
      <c r="Z17" s="215">
        <v>0.66666666666666674</v>
      </c>
      <c r="AA17" s="215">
        <v>-0.8321917808219178</v>
      </c>
      <c r="AB17" s="215">
        <v>-0.89803921568627454</v>
      </c>
      <c r="AC17" s="215">
        <v>0.83673469387755106</v>
      </c>
      <c r="AD17" s="215">
        <v>2.3461538461538463</v>
      </c>
      <c r="AE17" s="215">
        <v>-0.98888888888888893</v>
      </c>
      <c r="AF17" s="215">
        <v>-0.9885057471264368</v>
      </c>
      <c r="AG17" s="215">
        <v>57</v>
      </c>
      <c r="AH17" s="215">
        <v>7</v>
      </c>
      <c r="AI17" s="215">
        <v>-0.13793103448275867</v>
      </c>
      <c r="AJ17" s="215">
        <v>11.375</v>
      </c>
      <c r="AK17" s="215">
        <v>0.24</v>
      </c>
      <c r="AL17" s="215">
        <v>0.48484848484848486</v>
      </c>
      <c r="AM17" s="215">
        <v>0.11290322580645151</v>
      </c>
      <c r="AN17" s="30"/>
    </row>
    <row r="18" spans="1:41" ht="15" customHeight="1" outlineLevel="1" x14ac:dyDescent="0.2">
      <c r="A18" s="118" t="s">
        <v>122</v>
      </c>
      <c r="B18" s="318">
        <v>147</v>
      </c>
      <c r="C18" s="318">
        <v>95</v>
      </c>
      <c r="D18" s="200">
        <v>90</v>
      </c>
      <c r="E18" s="200">
        <v>234</v>
      </c>
      <c r="F18" s="200">
        <v>347</v>
      </c>
      <c r="G18" s="200">
        <v>111</v>
      </c>
      <c r="H18" s="200">
        <v>195</v>
      </c>
      <c r="I18" s="318">
        <v>175</v>
      </c>
      <c r="J18" s="318">
        <v>61</v>
      </c>
      <c r="K18" s="318">
        <v>10</v>
      </c>
      <c r="L18" s="318">
        <v>127</v>
      </c>
      <c r="M18" s="318">
        <v>86</v>
      </c>
      <c r="N18" s="318">
        <v>234</v>
      </c>
      <c r="O18" s="318">
        <v>228</v>
      </c>
      <c r="P18" s="318">
        <v>82</v>
      </c>
      <c r="Q18" s="318">
        <v>137</v>
      </c>
      <c r="R18" s="200">
        <v>82</v>
      </c>
      <c r="S18" s="200">
        <v>93</v>
      </c>
      <c r="T18" s="200">
        <v>92</v>
      </c>
      <c r="U18" s="200">
        <v>9</v>
      </c>
      <c r="V18" s="215">
        <v>-0.38775510204081631</v>
      </c>
      <c r="W18" s="215">
        <v>1.4631578947368422</v>
      </c>
      <c r="X18" s="215">
        <v>2.8555555555555556</v>
      </c>
      <c r="Y18" s="215">
        <v>-0.52564102564102566</v>
      </c>
      <c r="Z18" s="215">
        <v>-0.43804034582132567</v>
      </c>
      <c r="AA18" s="215">
        <v>0.57657657657657668</v>
      </c>
      <c r="AB18" s="215">
        <v>-0.68717948717948718</v>
      </c>
      <c r="AC18" s="215">
        <v>-0.94285714285714284</v>
      </c>
      <c r="AD18" s="215">
        <v>1.081967213114754</v>
      </c>
      <c r="AE18" s="215">
        <v>7.6</v>
      </c>
      <c r="AF18" s="215">
        <v>0.84251968503937014</v>
      </c>
      <c r="AG18" s="215">
        <v>1.6511627906976742</v>
      </c>
      <c r="AH18" s="215">
        <v>-0.6495726495726496</v>
      </c>
      <c r="AI18" s="215">
        <v>-0.39912280701754388</v>
      </c>
      <c r="AJ18" s="215">
        <v>0</v>
      </c>
      <c r="AK18" s="215">
        <v>-0.32116788321167888</v>
      </c>
      <c r="AL18" s="215">
        <v>0.12195121951219523</v>
      </c>
      <c r="AM18" s="215">
        <v>-0.90322580645161288</v>
      </c>
      <c r="AN18" s="30"/>
    </row>
    <row r="19" spans="1:41" ht="15" customHeight="1" outlineLevel="1" x14ac:dyDescent="0.2">
      <c r="A19" s="118" t="s">
        <v>74</v>
      </c>
      <c r="B19" s="318">
        <v>442</v>
      </c>
      <c r="C19" s="318">
        <v>427</v>
      </c>
      <c r="D19" s="200">
        <v>509</v>
      </c>
      <c r="E19" s="200">
        <v>650</v>
      </c>
      <c r="F19" s="200">
        <v>716</v>
      </c>
      <c r="G19" s="200">
        <v>762</v>
      </c>
      <c r="H19" s="200">
        <v>977</v>
      </c>
      <c r="I19" s="318">
        <v>716</v>
      </c>
      <c r="J19" s="318">
        <v>509</v>
      </c>
      <c r="K19" s="318">
        <v>333</v>
      </c>
      <c r="L19" s="318">
        <v>178</v>
      </c>
      <c r="M19" s="318">
        <v>182</v>
      </c>
      <c r="N19" s="318">
        <v>199</v>
      </c>
      <c r="O19" s="318">
        <v>171</v>
      </c>
      <c r="P19" s="318">
        <v>277</v>
      </c>
      <c r="Q19" s="318">
        <v>266</v>
      </c>
      <c r="R19" s="200">
        <v>296</v>
      </c>
      <c r="S19" s="200">
        <v>245</v>
      </c>
      <c r="T19" s="200">
        <v>271</v>
      </c>
      <c r="U19" s="200">
        <v>340</v>
      </c>
      <c r="V19" s="215">
        <v>0.15158371040723972</v>
      </c>
      <c r="W19" s="215">
        <v>0.52224824355971888</v>
      </c>
      <c r="X19" s="215">
        <v>0.40667976424361485</v>
      </c>
      <c r="Y19" s="215">
        <v>0.17230769230769227</v>
      </c>
      <c r="Z19" s="215">
        <v>0.36452513966480438</v>
      </c>
      <c r="AA19" s="215">
        <v>-6.0367454068241511E-2</v>
      </c>
      <c r="AB19" s="215">
        <v>-0.47901740020470829</v>
      </c>
      <c r="AC19" s="215">
        <v>-0.53491620111731841</v>
      </c>
      <c r="AD19" s="215">
        <v>-0.650294695481336</v>
      </c>
      <c r="AE19" s="215">
        <v>-0.45345345345345345</v>
      </c>
      <c r="AF19" s="215">
        <v>0.1179775280898876</v>
      </c>
      <c r="AG19" s="215">
        <v>-6.0439560439560447E-2</v>
      </c>
      <c r="AH19" s="215">
        <v>0.3919597989949748</v>
      </c>
      <c r="AI19" s="215">
        <v>0.55555555555555558</v>
      </c>
      <c r="AJ19" s="215">
        <v>6.8592057761732939E-2</v>
      </c>
      <c r="AK19" s="215">
        <v>-7.8947368421052655E-2</v>
      </c>
      <c r="AL19" s="215">
        <v>-8.4459459459459429E-2</v>
      </c>
      <c r="AM19" s="215">
        <v>0.38775510204081631</v>
      </c>
      <c r="AN19" s="30"/>
    </row>
    <row r="20" spans="1:41" ht="15" customHeight="1" outlineLevel="1" x14ac:dyDescent="0.2">
      <c r="A20" s="118" t="s">
        <v>82</v>
      </c>
      <c r="B20" s="318">
        <v>3632</v>
      </c>
      <c r="C20" s="318">
        <v>2284</v>
      </c>
      <c r="D20" s="200">
        <v>5405</v>
      </c>
      <c r="E20" s="200">
        <v>3172</v>
      </c>
      <c r="F20" s="200">
        <v>1627</v>
      </c>
      <c r="G20" s="200">
        <v>995</v>
      </c>
      <c r="H20" s="200">
        <v>1037</v>
      </c>
      <c r="I20" s="318">
        <v>1809</v>
      </c>
      <c r="J20" s="318">
        <v>1621</v>
      </c>
      <c r="K20" s="318">
        <v>2625</v>
      </c>
      <c r="L20" s="318">
        <v>2793</v>
      </c>
      <c r="M20" s="318">
        <v>2814</v>
      </c>
      <c r="N20" s="318">
        <v>4054</v>
      </c>
      <c r="O20" s="318">
        <v>3414</v>
      </c>
      <c r="P20" s="318">
        <v>3325</v>
      </c>
      <c r="Q20" s="318">
        <v>2630</v>
      </c>
      <c r="R20" s="200">
        <v>852</v>
      </c>
      <c r="S20" s="200">
        <v>3438</v>
      </c>
      <c r="T20" s="200">
        <v>1388</v>
      </c>
      <c r="U20" s="200">
        <v>3488</v>
      </c>
      <c r="V20" s="215">
        <v>0.48816079295154191</v>
      </c>
      <c r="W20" s="215">
        <v>0.3887915936952715</v>
      </c>
      <c r="X20" s="215">
        <v>-0.6989824236817761</v>
      </c>
      <c r="Y20" s="215">
        <v>-0.68631778058007564</v>
      </c>
      <c r="Z20" s="215">
        <v>-0.36263060848186845</v>
      </c>
      <c r="AA20" s="215">
        <v>0.81809045226130661</v>
      </c>
      <c r="AB20" s="215">
        <v>0.56316297010607519</v>
      </c>
      <c r="AC20" s="215">
        <v>0.45107794361525699</v>
      </c>
      <c r="AD20" s="215">
        <v>0.7230104873534855</v>
      </c>
      <c r="AE20" s="215">
        <v>7.2000000000000064E-2</v>
      </c>
      <c r="AF20" s="215">
        <v>0.45148585750089509</v>
      </c>
      <c r="AG20" s="215">
        <v>0.21321961620469088</v>
      </c>
      <c r="AH20" s="215">
        <v>-0.17982239763196839</v>
      </c>
      <c r="AI20" s="215">
        <v>-0.22964264792032807</v>
      </c>
      <c r="AJ20" s="215">
        <v>-0.74375939849624062</v>
      </c>
      <c r="AK20" s="215">
        <v>0.30722433460076037</v>
      </c>
      <c r="AL20" s="215">
        <v>0.62910798122065725</v>
      </c>
      <c r="AM20" s="215">
        <v>1.4543339150669077E-2</v>
      </c>
      <c r="AN20" s="30"/>
    </row>
    <row r="21" spans="1:41" ht="15" customHeight="1" outlineLevel="1" x14ac:dyDescent="0.2">
      <c r="A21" s="118" t="s">
        <v>418</v>
      </c>
      <c r="B21" s="318"/>
      <c r="C21" s="318"/>
      <c r="D21" s="200"/>
      <c r="E21" s="200"/>
      <c r="F21" s="200"/>
      <c r="G21" s="200"/>
      <c r="H21" s="200"/>
      <c r="I21" s="318"/>
      <c r="J21" s="318"/>
      <c r="K21" s="318"/>
      <c r="L21" s="318"/>
      <c r="M21" s="318"/>
      <c r="N21" s="318"/>
      <c r="O21" s="318"/>
      <c r="P21" s="318">
        <v>3</v>
      </c>
      <c r="Q21" s="318"/>
      <c r="R21" s="200">
        <v>110</v>
      </c>
      <c r="S21" s="200">
        <v>102</v>
      </c>
      <c r="T21" s="200">
        <v>97</v>
      </c>
      <c r="U21" s="200">
        <v>86</v>
      </c>
      <c r="V21" s="215"/>
      <c r="W21" s="215"/>
      <c r="X21" s="215"/>
      <c r="Y21" s="215"/>
      <c r="Z21" s="215"/>
      <c r="AA21" s="215"/>
      <c r="AB21" s="215"/>
      <c r="AC21" s="215"/>
      <c r="AD21" s="215"/>
      <c r="AE21" s="215"/>
      <c r="AF21" s="215"/>
      <c r="AG21" s="215"/>
      <c r="AH21" s="215"/>
      <c r="AI21" s="215"/>
      <c r="AJ21" s="215"/>
      <c r="AK21" s="215"/>
      <c r="AL21" s="215">
        <v>-0.11818181818181817</v>
      </c>
      <c r="AM21" s="215">
        <v>-0.15686274509803921</v>
      </c>
      <c r="AN21" s="30"/>
    </row>
    <row r="22" spans="1:41" ht="15" customHeight="1" x14ac:dyDescent="0.2">
      <c r="A22" s="319" t="s">
        <v>121</v>
      </c>
      <c r="B22" s="197">
        <v>8376</v>
      </c>
      <c r="C22" s="197">
        <v>8268</v>
      </c>
      <c r="D22" s="197">
        <v>10158</v>
      </c>
      <c r="E22" s="197">
        <v>9171</v>
      </c>
      <c r="F22" s="197">
        <v>6569</v>
      </c>
      <c r="G22" s="197">
        <v>6374</v>
      </c>
      <c r="H22" s="197">
        <v>6814</v>
      </c>
      <c r="I22" s="197">
        <v>7262</v>
      </c>
      <c r="J22" s="197">
        <v>5898</v>
      </c>
      <c r="K22" s="197">
        <v>6799</v>
      </c>
      <c r="L22" s="197">
        <v>5249</v>
      </c>
      <c r="M22" s="197">
        <v>5120</v>
      </c>
      <c r="N22" s="197">
        <v>6408</v>
      </c>
      <c r="O22" s="197">
        <v>6085</v>
      </c>
      <c r="P22" s="197">
        <v>5846</v>
      </c>
      <c r="Q22" s="197">
        <v>5546</v>
      </c>
      <c r="R22" s="197">
        <v>4526</v>
      </c>
      <c r="S22" s="433">
        <v>7090</v>
      </c>
      <c r="T22" s="197">
        <v>4554</v>
      </c>
      <c r="U22" s="197">
        <v>6878</v>
      </c>
      <c r="V22" s="215">
        <v>0.2127507163323783</v>
      </c>
      <c r="W22" s="215">
        <v>0.10921625544267055</v>
      </c>
      <c r="X22" s="215">
        <v>-0.35331758220122067</v>
      </c>
      <c r="Y22" s="215">
        <v>-0.30498309889870245</v>
      </c>
      <c r="Z22" s="215">
        <v>3.7296392144923196E-2</v>
      </c>
      <c r="AA22" s="215">
        <v>0.13931597113272676</v>
      </c>
      <c r="AB22" s="215">
        <v>-0.13442911652480183</v>
      </c>
      <c r="AC22" s="215">
        <v>-6.3756540897824343E-2</v>
      </c>
      <c r="AD22" s="215">
        <v>-0.11003730077992535</v>
      </c>
      <c r="AE22" s="215">
        <v>-0.24694808060008822</v>
      </c>
      <c r="AF22" s="215">
        <v>0.22080396265955415</v>
      </c>
      <c r="AG22" s="215">
        <v>0.1884765625</v>
      </c>
      <c r="AH22" s="215">
        <v>-8.7702871410736627E-2</v>
      </c>
      <c r="AI22" s="215">
        <v>-8.8578471651602264E-2</v>
      </c>
      <c r="AJ22" s="215">
        <v>-0.22579541566883343</v>
      </c>
      <c r="AK22" s="215">
        <v>0.27839884601514608</v>
      </c>
      <c r="AL22" s="215">
        <v>6.1864781263809565E-3</v>
      </c>
      <c r="AM22" s="215">
        <v>-2.9901269393512009E-2</v>
      </c>
      <c r="AN22" s="30"/>
    </row>
    <row r="23" spans="1:41" ht="15" customHeight="1" thickBot="1" x14ac:dyDescent="0.25">
      <c r="A23" s="118" t="s">
        <v>84</v>
      </c>
      <c r="B23" s="320">
        <v>32</v>
      </c>
      <c r="C23" s="320">
        <v>21</v>
      </c>
      <c r="D23" s="321">
        <v>2816</v>
      </c>
      <c r="E23" s="321">
        <v>0</v>
      </c>
      <c r="F23" s="321">
        <v>0</v>
      </c>
      <c r="G23" s="321">
        <v>0</v>
      </c>
      <c r="H23" s="321">
        <v>0</v>
      </c>
      <c r="I23" s="320">
        <v>0</v>
      </c>
      <c r="J23" s="320">
        <v>594</v>
      </c>
      <c r="K23" s="320">
        <v>596</v>
      </c>
      <c r="L23" s="320">
        <v>436</v>
      </c>
      <c r="M23" s="320">
        <v>305</v>
      </c>
      <c r="N23" s="320">
        <v>217</v>
      </c>
      <c r="O23" s="320">
        <v>218</v>
      </c>
      <c r="P23" s="320">
        <v>0</v>
      </c>
      <c r="Q23" s="320">
        <v>217</v>
      </c>
      <c r="R23" s="321">
        <v>0</v>
      </c>
      <c r="S23" s="321">
        <v>0</v>
      </c>
      <c r="T23" s="321">
        <v>0</v>
      </c>
      <c r="U23" s="321">
        <v>51</v>
      </c>
      <c r="V23" s="215"/>
      <c r="W23" s="215"/>
      <c r="X23" s="215"/>
      <c r="Y23" s="215"/>
      <c r="Z23" s="215"/>
      <c r="AA23" s="215"/>
      <c r="AB23" s="215"/>
      <c r="AC23" s="215"/>
      <c r="AD23" s="215"/>
      <c r="AE23" s="215"/>
      <c r="AF23" s="215"/>
      <c r="AG23" s="215"/>
      <c r="AH23" s="215"/>
      <c r="AI23" s="215"/>
      <c r="AJ23" s="215"/>
      <c r="AK23" s="215"/>
      <c r="AL23" s="215"/>
      <c r="AM23" s="215"/>
      <c r="AN23" s="30"/>
    </row>
    <row r="24" spans="1:41" ht="15" customHeight="1" thickTop="1" x14ac:dyDescent="0.2">
      <c r="A24" s="68" t="s">
        <v>85</v>
      </c>
      <c r="B24" s="126">
        <v>22760</v>
      </c>
      <c r="C24" s="126">
        <v>22697</v>
      </c>
      <c r="D24" s="126">
        <v>23909</v>
      </c>
      <c r="E24" s="126">
        <v>23002</v>
      </c>
      <c r="F24" s="126">
        <v>18912</v>
      </c>
      <c r="G24" s="126">
        <v>18823</v>
      </c>
      <c r="H24" s="126">
        <v>20974</v>
      </c>
      <c r="I24" s="126">
        <v>20226</v>
      </c>
      <c r="J24" s="126">
        <v>18781</v>
      </c>
      <c r="K24" s="126">
        <v>19515</v>
      </c>
      <c r="L24" s="126">
        <v>13149</v>
      </c>
      <c r="M24" s="126">
        <v>13646.303097982709</v>
      </c>
      <c r="N24" s="126">
        <v>13371</v>
      </c>
      <c r="O24" s="126">
        <v>14730</v>
      </c>
      <c r="P24" s="126">
        <v>16523</v>
      </c>
      <c r="Q24" s="126">
        <v>16881</v>
      </c>
      <c r="R24" s="126">
        <v>16635</v>
      </c>
      <c r="S24" s="126">
        <v>18403</v>
      </c>
      <c r="T24" s="126">
        <v>15251</v>
      </c>
      <c r="U24" s="126">
        <v>18956</v>
      </c>
      <c r="V24" s="215">
        <v>5.0483304042179267E-2</v>
      </c>
      <c r="W24" s="215">
        <v>1.3437899281843357E-2</v>
      </c>
      <c r="X24" s="215">
        <v>-0.20900079467982768</v>
      </c>
      <c r="Y24" s="215">
        <v>-0.18167985392574559</v>
      </c>
      <c r="Z24" s="215">
        <v>0.10903130287648044</v>
      </c>
      <c r="AA24" s="215">
        <v>7.453647133825636E-2</v>
      </c>
      <c r="AB24" s="215">
        <v>-0.10455802422046345</v>
      </c>
      <c r="AC24" s="215">
        <v>-3.5152773657668335E-2</v>
      </c>
      <c r="AD24" s="215">
        <v>-0.29987753580746501</v>
      </c>
      <c r="AE24" s="215">
        <v>-0.30072748665217996</v>
      </c>
      <c r="AF24" s="215">
        <v>1.6883413187314567E-2</v>
      </c>
      <c r="AG24" s="215">
        <v>7.9413222338399425E-2</v>
      </c>
      <c r="AH24" s="215">
        <v>0.2357340513050632</v>
      </c>
      <c r="AI24" s="215">
        <v>0.14602851323828925</v>
      </c>
      <c r="AJ24" s="215">
        <v>6.7784300671791531E-3</v>
      </c>
      <c r="AK24" s="215">
        <v>9.0160535513299056E-2</v>
      </c>
      <c r="AL24" s="215">
        <v>-8.3198076345055605E-2</v>
      </c>
      <c r="AM24" s="215">
        <v>3.0049448459490202E-2</v>
      </c>
      <c r="AN24" s="322"/>
    </row>
    <row r="25" spans="1:41" ht="15" customHeight="1" x14ac:dyDescent="0.2">
      <c r="A25" s="120" t="s">
        <v>86</v>
      </c>
      <c r="B25" s="221"/>
      <c r="C25" s="221"/>
      <c r="D25" s="202"/>
      <c r="E25" s="202"/>
      <c r="F25" s="202"/>
      <c r="G25" s="202"/>
      <c r="H25" s="202"/>
      <c r="I25" s="203"/>
      <c r="J25" s="203"/>
      <c r="K25" s="203"/>
      <c r="L25" s="203"/>
      <c r="M25" s="203"/>
      <c r="N25" s="203"/>
      <c r="O25" s="203"/>
      <c r="P25" s="203"/>
      <c r="Q25" s="203"/>
      <c r="R25" s="202"/>
      <c r="S25" s="202"/>
      <c r="T25" s="202"/>
      <c r="U25" s="202"/>
      <c r="V25" s="215"/>
      <c r="W25" s="215"/>
      <c r="X25" s="215"/>
      <c r="Y25" s="215"/>
      <c r="Z25" s="215"/>
      <c r="AA25" s="215"/>
      <c r="AB25" s="215"/>
      <c r="AC25" s="215"/>
      <c r="AD25" s="215"/>
      <c r="AE25" s="215"/>
      <c r="AF25" s="215"/>
      <c r="AG25" s="215"/>
      <c r="AH25" s="215"/>
      <c r="AI25" s="215"/>
      <c r="AJ25" s="215"/>
      <c r="AK25" s="215"/>
      <c r="AL25" s="215"/>
      <c r="AM25" s="215"/>
      <c r="AN25" s="30"/>
    </row>
    <row r="26" spans="1:41" ht="15" customHeight="1" outlineLevel="1" x14ac:dyDescent="0.2">
      <c r="A26" s="133" t="s">
        <v>87</v>
      </c>
      <c r="B26" s="308">
        <v>8</v>
      </c>
      <c r="C26" s="308">
        <v>8</v>
      </c>
      <c r="D26" s="308">
        <v>8</v>
      </c>
      <c r="E26" s="308">
        <v>8</v>
      </c>
      <c r="F26" s="308">
        <v>8</v>
      </c>
      <c r="G26" s="308">
        <v>8</v>
      </c>
      <c r="H26" s="308">
        <v>8</v>
      </c>
      <c r="I26" s="308">
        <v>6</v>
      </c>
      <c r="J26" s="308">
        <v>6</v>
      </c>
      <c r="K26" s="308">
        <v>6</v>
      </c>
      <c r="L26" s="308">
        <v>6</v>
      </c>
      <c r="M26" s="308">
        <v>6</v>
      </c>
      <c r="N26" s="308">
        <v>6</v>
      </c>
      <c r="O26" s="308">
        <v>6</v>
      </c>
      <c r="P26" s="308">
        <v>6</v>
      </c>
      <c r="Q26" s="308">
        <v>6</v>
      </c>
      <c r="R26" s="308">
        <v>6</v>
      </c>
      <c r="S26" s="308">
        <v>6</v>
      </c>
      <c r="T26" s="308">
        <v>6</v>
      </c>
      <c r="U26" s="308">
        <v>6</v>
      </c>
      <c r="V26" s="215">
        <v>0</v>
      </c>
      <c r="W26" s="215">
        <v>0</v>
      </c>
      <c r="X26" s="215">
        <v>0</v>
      </c>
      <c r="Y26" s="215">
        <v>0</v>
      </c>
      <c r="Z26" s="215">
        <v>0</v>
      </c>
      <c r="AA26" s="215">
        <v>-0.25</v>
      </c>
      <c r="AB26" s="215">
        <v>-0.25</v>
      </c>
      <c r="AC26" s="215">
        <v>0</v>
      </c>
      <c r="AD26" s="215">
        <v>0</v>
      </c>
      <c r="AE26" s="215">
        <v>0</v>
      </c>
      <c r="AF26" s="215">
        <v>0</v>
      </c>
      <c r="AG26" s="215">
        <v>0</v>
      </c>
      <c r="AH26" s="215">
        <v>0</v>
      </c>
      <c r="AI26" s="215">
        <v>0</v>
      </c>
      <c r="AJ26" s="215">
        <v>0</v>
      </c>
      <c r="AK26" s="215">
        <v>0</v>
      </c>
      <c r="AL26" s="215">
        <v>0</v>
      </c>
      <c r="AM26" s="215">
        <v>0</v>
      </c>
      <c r="AN26" s="30"/>
    </row>
    <row r="27" spans="1:41" ht="15" customHeight="1" outlineLevel="1" x14ac:dyDescent="0.2">
      <c r="A27" s="133" t="s">
        <v>88</v>
      </c>
      <c r="B27" s="308">
        <v>1390</v>
      </c>
      <c r="C27" s="308">
        <v>1413</v>
      </c>
      <c r="D27" s="308">
        <v>1511</v>
      </c>
      <c r="E27" s="308">
        <v>1511</v>
      </c>
      <c r="F27" s="308">
        <v>1511</v>
      </c>
      <c r="G27" s="308">
        <v>1511</v>
      </c>
      <c r="H27" s="308">
        <v>1511</v>
      </c>
      <c r="I27" s="308">
        <v>1254</v>
      </c>
      <c r="J27" s="308">
        <v>1254</v>
      </c>
      <c r="K27" s="308">
        <v>1254</v>
      </c>
      <c r="L27" s="308">
        <v>1254</v>
      </c>
      <c r="M27" s="308">
        <v>1254</v>
      </c>
      <c r="N27" s="308">
        <v>1254</v>
      </c>
      <c r="O27" s="308">
        <v>1254</v>
      </c>
      <c r="P27" s="308">
        <v>1254</v>
      </c>
      <c r="Q27" s="308">
        <v>1254</v>
      </c>
      <c r="R27" s="308">
        <v>1254</v>
      </c>
      <c r="S27" s="308">
        <v>1254</v>
      </c>
      <c r="T27" s="308">
        <v>1254</v>
      </c>
      <c r="U27" s="308">
        <v>1254</v>
      </c>
      <c r="V27" s="215">
        <v>8.7050359712230296E-2</v>
      </c>
      <c r="W27" s="215">
        <v>6.9355980184005572E-2</v>
      </c>
      <c r="X27" s="215">
        <v>0</v>
      </c>
      <c r="Y27" s="215">
        <v>0</v>
      </c>
      <c r="Z27" s="215">
        <v>0</v>
      </c>
      <c r="AA27" s="215">
        <v>-0.17008603573792191</v>
      </c>
      <c r="AB27" s="215">
        <v>-0.17008603573792191</v>
      </c>
      <c r="AC27" s="215">
        <v>0</v>
      </c>
      <c r="AD27" s="215">
        <v>0</v>
      </c>
      <c r="AE27" s="215">
        <v>0</v>
      </c>
      <c r="AF27" s="215">
        <v>0</v>
      </c>
      <c r="AG27" s="215">
        <v>0</v>
      </c>
      <c r="AH27" s="215">
        <v>0</v>
      </c>
      <c r="AI27" s="215">
        <v>0</v>
      </c>
      <c r="AJ27" s="215">
        <v>0</v>
      </c>
      <c r="AK27" s="215">
        <v>0</v>
      </c>
      <c r="AL27" s="215">
        <v>0</v>
      </c>
      <c r="AM27" s="215">
        <v>0</v>
      </c>
      <c r="AN27" s="30"/>
    </row>
    <row r="28" spans="1:41" ht="15" customHeight="1" outlineLevel="1" x14ac:dyDescent="0.2">
      <c r="A28" s="133" t="s">
        <v>476</v>
      </c>
      <c r="B28" s="308">
        <v>-2719</v>
      </c>
      <c r="C28" s="308">
        <v>-2733</v>
      </c>
      <c r="D28" s="308">
        <v>-1237</v>
      </c>
      <c r="E28" s="308">
        <v>-3522</v>
      </c>
      <c r="F28" s="308">
        <v>-8692</v>
      </c>
      <c r="G28" s="308">
        <v>-8692</v>
      </c>
      <c r="H28" s="308">
        <v>-8692</v>
      </c>
      <c r="I28" s="308">
        <v>0</v>
      </c>
      <c r="J28" s="308">
        <v>0</v>
      </c>
      <c r="K28" s="308">
        <v>0</v>
      </c>
      <c r="L28" s="308">
        <v>0</v>
      </c>
      <c r="M28" s="308">
        <v>-2</v>
      </c>
      <c r="N28" s="308">
        <v>-196</v>
      </c>
      <c r="O28" s="308">
        <v>-196</v>
      </c>
      <c r="P28" s="308">
        <v>0</v>
      </c>
      <c r="Q28" s="308">
        <v>0</v>
      </c>
      <c r="R28" s="308">
        <v>0</v>
      </c>
      <c r="S28" s="308">
        <v>0</v>
      </c>
      <c r="T28" s="308">
        <v>0</v>
      </c>
      <c r="U28" s="308">
        <v>0</v>
      </c>
      <c r="V28" s="215">
        <v>-0.54505332842956977</v>
      </c>
      <c r="W28" s="215">
        <v>0.28869374313940721</v>
      </c>
      <c r="X28" s="215">
        <v>6.0266774454324983</v>
      </c>
      <c r="Y28" s="215">
        <v>1.4679159568427029</v>
      </c>
      <c r="Z28" s="215">
        <v>0</v>
      </c>
      <c r="AA28" s="215">
        <v>-1</v>
      </c>
      <c r="AB28" s="215">
        <v>-1</v>
      </c>
      <c r="AC28" s="215"/>
      <c r="AD28" s="215"/>
      <c r="AE28" s="215"/>
      <c r="AF28" s="215"/>
      <c r="AG28" s="215"/>
      <c r="AH28" s="215"/>
      <c r="AI28" s="215"/>
      <c r="AJ28" s="215"/>
      <c r="AK28" s="215"/>
      <c r="AL28" s="215"/>
      <c r="AM28" s="215"/>
      <c r="AN28" s="30"/>
      <c r="AO28" s="43"/>
    </row>
    <row r="29" spans="1:41" ht="15" customHeight="1" outlineLevel="1" x14ac:dyDescent="0.2">
      <c r="A29" s="133" t="s">
        <v>592</v>
      </c>
      <c r="B29" s="308">
        <v>-604</v>
      </c>
      <c r="C29" s="308">
        <v>-1078</v>
      </c>
      <c r="D29" s="308">
        <v>279</v>
      </c>
      <c r="E29" s="308">
        <v>1174</v>
      </c>
      <c r="F29" s="308">
        <v>-848</v>
      </c>
      <c r="G29" s="308">
        <v>-1554</v>
      </c>
      <c r="H29" s="308">
        <v>-349</v>
      </c>
      <c r="I29" s="308">
        <v>-1209</v>
      </c>
      <c r="J29" s="308">
        <v>-1230</v>
      </c>
      <c r="K29" s="308">
        <v>-1471</v>
      </c>
      <c r="L29" s="308">
        <v>-4787</v>
      </c>
      <c r="M29" s="308">
        <v>-4143</v>
      </c>
      <c r="N29" s="308">
        <v>-5348</v>
      </c>
      <c r="O29" s="308">
        <v>-5019</v>
      </c>
      <c r="P29" s="308">
        <v>-4778</v>
      </c>
      <c r="Q29" s="308">
        <v>-4616</v>
      </c>
      <c r="R29" s="308">
        <v>-4490</v>
      </c>
      <c r="S29" s="308">
        <v>-4939</v>
      </c>
      <c r="T29" s="308">
        <v>-5343</v>
      </c>
      <c r="U29" s="308">
        <v>-4998</v>
      </c>
      <c r="V29" s="215">
        <v>-1.4619205298013245</v>
      </c>
      <c r="W29" s="215">
        <v>-2.0890538033395174</v>
      </c>
      <c r="X29" s="215">
        <v>-4.0394265232974913</v>
      </c>
      <c r="Y29" s="215">
        <v>-2.323679727427598</v>
      </c>
      <c r="Z29" s="215">
        <v>-0.58844339622641506</v>
      </c>
      <c r="AA29" s="215">
        <v>-0.22200772200772201</v>
      </c>
      <c r="AB29" s="215">
        <v>2.5243553008595989</v>
      </c>
      <c r="AC29" s="215">
        <v>0.21670802315963611</v>
      </c>
      <c r="AD29" s="215">
        <v>2.8918699186991872</v>
      </c>
      <c r="AE29" s="215">
        <v>1.8164513936097895</v>
      </c>
      <c r="AF29" s="215">
        <v>0.11719239607269683</v>
      </c>
      <c r="AG29" s="215">
        <v>0.21144098479362783</v>
      </c>
      <c r="AH29" s="215">
        <v>-0.10658189977561705</v>
      </c>
      <c r="AI29" s="215">
        <v>-8.0294879458059354E-2</v>
      </c>
      <c r="AJ29" s="215">
        <v>-6.0276266220175789E-2</v>
      </c>
      <c r="AK29" s="215">
        <v>6.9974003466204415E-2</v>
      </c>
      <c r="AL29" s="215">
        <v>0.19020044543429848</v>
      </c>
      <c r="AM29" s="215">
        <v>1.1945738003644513E-2</v>
      </c>
      <c r="AN29" s="30"/>
    </row>
    <row r="30" spans="1:41" ht="15" customHeight="1" outlineLevel="1" x14ac:dyDescent="0.2">
      <c r="A30" s="133" t="s">
        <v>230</v>
      </c>
      <c r="B30" s="308">
        <v>15600</v>
      </c>
      <c r="C30" s="308">
        <v>16750</v>
      </c>
      <c r="D30" s="308">
        <v>17744</v>
      </c>
      <c r="E30" s="308">
        <v>17315</v>
      </c>
      <c r="F30" s="308">
        <v>19123</v>
      </c>
      <c r="G30" s="308">
        <v>19686</v>
      </c>
      <c r="H30" s="308">
        <v>20353</v>
      </c>
      <c r="I30" s="308">
        <v>10451</v>
      </c>
      <c r="J30" s="308">
        <v>9589</v>
      </c>
      <c r="K30" s="308">
        <v>9922</v>
      </c>
      <c r="L30" s="308">
        <v>8295</v>
      </c>
      <c r="M30" s="308">
        <v>7710</v>
      </c>
      <c r="N30" s="308">
        <v>6523</v>
      </c>
      <c r="O30" s="308">
        <v>7267</v>
      </c>
      <c r="P30" s="308">
        <v>7340</v>
      </c>
      <c r="Q30" s="308">
        <v>6923</v>
      </c>
      <c r="R30" s="308">
        <v>7557</v>
      </c>
      <c r="S30" s="308">
        <v>7708</v>
      </c>
      <c r="T30" s="308">
        <v>7306</v>
      </c>
      <c r="U30" s="308">
        <v>8259</v>
      </c>
      <c r="V30" s="215">
        <v>0.13743589743589735</v>
      </c>
      <c r="W30" s="215">
        <v>3.3731343283582182E-2</v>
      </c>
      <c r="X30" s="215">
        <v>7.7716411181244283E-2</v>
      </c>
      <c r="Y30" s="215">
        <v>0.13693329483107131</v>
      </c>
      <c r="Z30" s="215">
        <v>6.4320451811954227E-2</v>
      </c>
      <c r="AA30" s="215">
        <v>-0.4691151071827695</v>
      </c>
      <c r="AB30" s="215">
        <v>-0.52886552351004767</v>
      </c>
      <c r="AC30" s="215">
        <v>-5.0617165821452481E-2</v>
      </c>
      <c r="AD30" s="215">
        <v>-0.13494629262696844</v>
      </c>
      <c r="AE30" s="215">
        <v>-0.22293892360411205</v>
      </c>
      <c r="AF30" s="215">
        <v>-0.21362266425557563</v>
      </c>
      <c r="AG30" s="215">
        <v>-5.7457846952010394E-2</v>
      </c>
      <c r="AH30" s="215">
        <v>0.12524911850375586</v>
      </c>
      <c r="AI30" s="215">
        <v>-4.7337278106508895E-2</v>
      </c>
      <c r="AJ30" s="215">
        <v>2.9564032697547704E-2</v>
      </c>
      <c r="AK30" s="215">
        <v>0.11339014877943088</v>
      </c>
      <c r="AL30" s="215">
        <v>-3.3081910811168402E-2</v>
      </c>
      <c r="AM30" s="215">
        <v>7.1484172288531322E-2</v>
      </c>
      <c r="AN30" s="30"/>
    </row>
    <row r="31" spans="1:41" ht="15" customHeight="1" outlineLevel="1" x14ac:dyDescent="0.2">
      <c r="A31" s="133" t="s">
        <v>89</v>
      </c>
      <c r="B31" s="202">
        <v>0</v>
      </c>
      <c r="C31" s="202">
        <v>0</v>
      </c>
      <c r="D31" s="308">
        <v>-929</v>
      </c>
      <c r="E31" s="308">
        <v>0</v>
      </c>
      <c r="F31" s="202">
        <v>0</v>
      </c>
      <c r="G31" s="202">
        <v>0</v>
      </c>
      <c r="H31" s="308">
        <v>0</v>
      </c>
      <c r="I31" s="27">
        <v>0</v>
      </c>
      <c r="J31" s="27">
        <v>0</v>
      </c>
      <c r="K31" s="27">
        <v>0</v>
      </c>
      <c r="L31" s="27"/>
      <c r="M31" s="27"/>
      <c r="N31" s="27"/>
      <c r="O31" s="27"/>
      <c r="P31" s="27"/>
      <c r="Q31" s="27"/>
      <c r="R31" s="308"/>
      <c r="S31" s="308"/>
      <c r="T31" s="308"/>
      <c r="U31" s="308"/>
      <c r="V31" s="215"/>
      <c r="W31" s="215"/>
      <c r="X31" s="215"/>
      <c r="Y31" s="215"/>
      <c r="Z31" s="215"/>
      <c r="AA31" s="215"/>
      <c r="AB31" s="215"/>
      <c r="AC31" s="215"/>
      <c r="AD31" s="215"/>
      <c r="AE31" s="215"/>
      <c r="AF31" s="215"/>
      <c r="AG31" s="215"/>
      <c r="AH31" s="215"/>
      <c r="AI31" s="215"/>
      <c r="AJ31" s="215"/>
      <c r="AK31" s="215"/>
      <c r="AL31" s="215"/>
      <c r="AM31" s="215"/>
      <c r="AN31" s="30"/>
    </row>
    <row r="32" spans="1:41" ht="33" customHeight="1" outlineLevel="1" x14ac:dyDescent="0.2">
      <c r="A32" s="323" t="s">
        <v>231</v>
      </c>
      <c r="B32" s="122">
        <v>13675</v>
      </c>
      <c r="C32" s="122">
        <v>14360</v>
      </c>
      <c r="D32" s="122">
        <v>17376</v>
      </c>
      <c r="E32" s="122">
        <v>16486</v>
      </c>
      <c r="F32" s="122">
        <v>11102</v>
      </c>
      <c r="G32" s="122">
        <v>10959</v>
      </c>
      <c r="H32" s="122">
        <v>12831</v>
      </c>
      <c r="I32" s="122">
        <v>10502</v>
      </c>
      <c r="J32" s="122">
        <v>9619</v>
      </c>
      <c r="K32" s="122">
        <v>9711</v>
      </c>
      <c r="L32" s="122">
        <v>4768</v>
      </c>
      <c r="M32" s="122">
        <v>4825</v>
      </c>
      <c r="N32" s="122">
        <v>2239</v>
      </c>
      <c r="O32" s="122">
        <v>3312</v>
      </c>
      <c r="P32" s="122">
        <v>3822</v>
      </c>
      <c r="Q32" s="122">
        <v>3567</v>
      </c>
      <c r="R32" s="122">
        <v>4327</v>
      </c>
      <c r="S32" s="427">
        <v>4029</v>
      </c>
      <c r="T32" s="122">
        <v>3223</v>
      </c>
      <c r="U32" s="122">
        <v>4521</v>
      </c>
      <c r="V32" s="215">
        <v>0.27063985374771482</v>
      </c>
      <c r="W32" s="215">
        <v>0.14805013927576605</v>
      </c>
      <c r="X32" s="215">
        <v>-0.36107274401473299</v>
      </c>
      <c r="Y32" s="215">
        <v>-0.33525415504064049</v>
      </c>
      <c r="Z32" s="215">
        <v>0.15573770491803285</v>
      </c>
      <c r="AA32" s="215">
        <v>-4.1700885117255226E-2</v>
      </c>
      <c r="AB32" s="215">
        <v>-0.25033122905463334</v>
      </c>
      <c r="AC32" s="215">
        <v>-7.5318986859645776E-2</v>
      </c>
      <c r="AD32" s="215">
        <v>-0.5043143777939495</v>
      </c>
      <c r="AE32" s="215">
        <v>-0.50314076820100917</v>
      </c>
      <c r="AF32" s="215">
        <v>-0.53041107382550334</v>
      </c>
      <c r="AG32" s="215">
        <v>-0.31357512953367872</v>
      </c>
      <c r="AH32" s="215">
        <v>0.7070120589548905</v>
      </c>
      <c r="AI32" s="215">
        <v>7.699275362318847E-2</v>
      </c>
      <c r="AJ32" s="215">
        <v>0.13212977498691791</v>
      </c>
      <c r="AK32" s="215">
        <v>0.12952060555088307</v>
      </c>
      <c r="AL32" s="215">
        <v>-0.25514213080656345</v>
      </c>
      <c r="AM32" s="215">
        <v>0.12211466865227094</v>
      </c>
      <c r="AN32" s="30"/>
    </row>
    <row r="33" spans="1:40" ht="15" customHeight="1" outlineLevel="1" x14ac:dyDescent="0.2">
      <c r="A33" s="133" t="s">
        <v>44</v>
      </c>
      <c r="B33" s="202">
        <v>1080</v>
      </c>
      <c r="C33" s="202">
        <v>1067</v>
      </c>
      <c r="D33" s="308">
        <v>598</v>
      </c>
      <c r="E33" s="308">
        <v>135</v>
      </c>
      <c r="F33" s="202">
        <v>120</v>
      </c>
      <c r="G33" s="202">
        <v>107</v>
      </c>
      <c r="H33" s="308">
        <v>109</v>
      </c>
      <c r="I33" s="27">
        <v>131</v>
      </c>
      <c r="J33" s="27">
        <v>131</v>
      </c>
      <c r="K33" s="27">
        <v>131</v>
      </c>
      <c r="L33" s="27">
        <v>25</v>
      </c>
      <c r="M33" s="27">
        <v>31</v>
      </c>
      <c r="N33" s="27">
        <v>22</v>
      </c>
      <c r="O33" s="27">
        <v>16</v>
      </c>
      <c r="P33" s="27">
        <v>74</v>
      </c>
      <c r="Q33" s="27">
        <v>88</v>
      </c>
      <c r="R33" s="308">
        <v>331</v>
      </c>
      <c r="S33" s="308">
        <v>281</v>
      </c>
      <c r="T33" s="308">
        <v>250</v>
      </c>
      <c r="U33" s="308">
        <v>396</v>
      </c>
      <c r="V33" s="215">
        <v>-0.4462962962962963</v>
      </c>
      <c r="W33" s="215">
        <v>-0.87347703842549207</v>
      </c>
      <c r="X33" s="215">
        <v>-0.79933110367892979</v>
      </c>
      <c r="Y33" s="215">
        <v>-0.20740740740740737</v>
      </c>
      <c r="Z33" s="215">
        <v>-9.1666666666666674E-2</v>
      </c>
      <c r="AA33" s="215">
        <v>0.22429906542056077</v>
      </c>
      <c r="AB33" s="215">
        <v>0.201834862385321</v>
      </c>
      <c r="AC33" s="215">
        <v>0</v>
      </c>
      <c r="AD33" s="215">
        <v>-0.80916030534351147</v>
      </c>
      <c r="AE33" s="215">
        <v>-0.76335877862595414</v>
      </c>
      <c r="AF33" s="215">
        <v>-0.12</v>
      </c>
      <c r="AG33" s="215">
        <v>-0.4838709677419355</v>
      </c>
      <c r="AH33" s="215">
        <v>2.3636363636363638</v>
      </c>
      <c r="AI33" s="215">
        <v>4.5</v>
      </c>
      <c r="AJ33" s="215">
        <v>3.4729729729729728</v>
      </c>
      <c r="AK33" s="215">
        <v>2.1931818181818183</v>
      </c>
      <c r="AL33" s="215">
        <v>-0.24471299093655585</v>
      </c>
      <c r="AM33" s="215">
        <v>0.40925266903914581</v>
      </c>
      <c r="AN33" s="30"/>
    </row>
    <row r="34" spans="1:40" ht="15" customHeight="1" x14ac:dyDescent="0.2">
      <c r="A34" s="323" t="s">
        <v>90</v>
      </c>
      <c r="B34" s="122">
        <v>14755</v>
      </c>
      <c r="C34" s="122">
        <v>15427</v>
      </c>
      <c r="D34" s="122">
        <v>17974</v>
      </c>
      <c r="E34" s="122">
        <v>16621</v>
      </c>
      <c r="F34" s="122">
        <v>11222</v>
      </c>
      <c r="G34" s="122">
        <v>11066</v>
      </c>
      <c r="H34" s="122">
        <v>12940</v>
      </c>
      <c r="I34" s="122">
        <v>10633</v>
      </c>
      <c r="J34" s="122">
        <v>9750</v>
      </c>
      <c r="K34" s="122">
        <v>9842</v>
      </c>
      <c r="L34" s="122">
        <v>4793</v>
      </c>
      <c r="M34" s="122">
        <v>4856</v>
      </c>
      <c r="N34" s="122">
        <v>2261</v>
      </c>
      <c r="O34" s="122">
        <v>3328</v>
      </c>
      <c r="P34" s="122">
        <v>3896</v>
      </c>
      <c r="Q34" s="122">
        <v>3655</v>
      </c>
      <c r="R34" s="122">
        <v>4658</v>
      </c>
      <c r="S34" s="427">
        <v>4310</v>
      </c>
      <c r="T34" s="122">
        <v>3473</v>
      </c>
      <c r="U34" s="122">
        <v>4917</v>
      </c>
      <c r="V34" s="215">
        <v>0.21816333446289393</v>
      </c>
      <c r="W34" s="215">
        <v>7.7396771893433636E-2</v>
      </c>
      <c r="X34" s="215">
        <v>-0.37565372204295089</v>
      </c>
      <c r="Y34" s="215">
        <v>-0.33421575115817337</v>
      </c>
      <c r="Z34" s="215">
        <v>0.15309214043842445</v>
      </c>
      <c r="AA34" s="215">
        <v>-3.9128863184529239E-2</v>
      </c>
      <c r="AB34" s="215">
        <v>-0.24652241112828444</v>
      </c>
      <c r="AC34" s="215">
        <v>-7.4391046741277167E-2</v>
      </c>
      <c r="AD34" s="215">
        <v>-0.50841025641025639</v>
      </c>
      <c r="AE34" s="215">
        <v>-0.50660434870961191</v>
      </c>
      <c r="AF34" s="215">
        <v>-0.5282703943250574</v>
      </c>
      <c r="AG34" s="215">
        <v>-0.31466227347611198</v>
      </c>
      <c r="AH34" s="215">
        <v>0.72313135780628035</v>
      </c>
      <c r="AI34" s="215">
        <v>9.8257211538461453E-2</v>
      </c>
      <c r="AJ34" s="215">
        <v>0.1955852156057496</v>
      </c>
      <c r="AK34" s="215">
        <v>0.17920656634746912</v>
      </c>
      <c r="AL34" s="215">
        <v>-0.25440103048518681</v>
      </c>
      <c r="AM34" s="215">
        <v>0.14083526682134573</v>
      </c>
      <c r="AN34" s="30"/>
    </row>
    <row r="35" spans="1:40" ht="15" customHeight="1" outlineLevel="1" x14ac:dyDescent="0.2">
      <c r="A35" s="133" t="s">
        <v>91</v>
      </c>
      <c r="B35" s="202">
        <v>2345</v>
      </c>
      <c r="C35" s="202">
        <v>1514</v>
      </c>
      <c r="D35" s="308">
        <v>1561</v>
      </c>
      <c r="E35" s="308">
        <v>774</v>
      </c>
      <c r="F35" s="308">
        <v>2401</v>
      </c>
      <c r="G35" s="308">
        <v>2508</v>
      </c>
      <c r="H35" s="308">
        <v>2497</v>
      </c>
      <c r="I35" s="27">
        <v>5624</v>
      </c>
      <c r="J35" s="27">
        <v>5173</v>
      </c>
      <c r="K35" s="27">
        <v>5647</v>
      </c>
      <c r="L35" s="27">
        <v>5678</v>
      </c>
      <c r="M35" s="27">
        <v>5151</v>
      </c>
      <c r="N35" s="27">
        <v>7142</v>
      </c>
      <c r="O35" s="27">
        <v>7473</v>
      </c>
      <c r="P35" s="27">
        <v>7276</v>
      </c>
      <c r="Q35" s="27">
        <v>6903</v>
      </c>
      <c r="R35" s="308">
        <v>8236</v>
      </c>
      <c r="S35" s="308">
        <v>9150</v>
      </c>
      <c r="T35" s="308">
        <v>8208</v>
      </c>
      <c r="U35" s="308">
        <v>8493</v>
      </c>
      <c r="V35" s="215">
        <v>-0.33432835820895523</v>
      </c>
      <c r="W35" s="215">
        <v>-0.48877146631439894</v>
      </c>
      <c r="X35" s="215">
        <v>0.53811659192825112</v>
      </c>
      <c r="Y35" s="215">
        <v>2.2403100775193798</v>
      </c>
      <c r="Z35" s="215">
        <v>3.9983340274885482E-2</v>
      </c>
      <c r="AA35" s="215">
        <v>1.2424242424242422</v>
      </c>
      <c r="AB35" s="215">
        <v>1.0716860232278735</v>
      </c>
      <c r="AC35" s="215">
        <v>4.0896159317211911E-3</v>
      </c>
      <c r="AD35" s="215">
        <v>9.7622269476125956E-2</v>
      </c>
      <c r="AE35" s="215">
        <v>-8.7834248273419568E-2</v>
      </c>
      <c r="AF35" s="215">
        <v>0.25783726664318429</v>
      </c>
      <c r="AG35" s="215">
        <v>0.45078625509609793</v>
      </c>
      <c r="AH35" s="215">
        <v>1.8762251470176405E-2</v>
      </c>
      <c r="AI35" s="215">
        <v>-7.6274588518667197E-2</v>
      </c>
      <c r="AJ35" s="215">
        <v>0.13194062671797702</v>
      </c>
      <c r="AK35" s="215">
        <v>0.32545117556164005</v>
      </c>
      <c r="AL35" s="215">
        <v>-1.4570179698882857E-3</v>
      </c>
      <c r="AM35" s="215">
        <v>-7.1803278688524541E-2</v>
      </c>
      <c r="AN35" s="30"/>
    </row>
    <row r="36" spans="1:40" ht="15" customHeight="1" outlineLevel="1" x14ac:dyDescent="0.2">
      <c r="A36" s="133" t="s">
        <v>374</v>
      </c>
      <c r="B36" s="202"/>
      <c r="C36" s="202"/>
      <c r="D36" s="308"/>
      <c r="E36" s="308"/>
      <c r="F36" s="308"/>
      <c r="G36" s="308"/>
      <c r="H36" s="308"/>
      <c r="I36" s="27"/>
      <c r="J36" s="27"/>
      <c r="K36" s="27"/>
      <c r="L36" s="27"/>
      <c r="M36" s="27"/>
      <c r="N36" s="27">
        <v>0</v>
      </c>
      <c r="O36" s="27"/>
      <c r="P36" s="27">
        <v>523</v>
      </c>
      <c r="Q36" s="27">
        <v>576</v>
      </c>
      <c r="R36" s="308">
        <v>402</v>
      </c>
      <c r="S36" s="308">
        <v>396</v>
      </c>
      <c r="T36" s="308">
        <v>200</v>
      </c>
      <c r="U36" s="308">
        <v>224</v>
      </c>
      <c r="V36" s="215"/>
      <c r="W36" s="215"/>
      <c r="X36" s="215"/>
      <c r="Y36" s="215"/>
      <c r="Z36" s="215"/>
      <c r="AA36" s="215"/>
      <c r="AB36" s="215"/>
      <c r="AC36" s="215"/>
      <c r="AD36" s="215"/>
      <c r="AE36" s="215"/>
      <c r="AF36" s="215"/>
      <c r="AG36" s="215"/>
      <c r="AH36" s="215"/>
      <c r="AI36" s="215"/>
      <c r="AJ36" s="215"/>
      <c r="AK36" s="215">
        <v>-0.3125</v>
      </c>
      <c r="AL36" s="215">
        <v>-0.50248756218905477</v>
      </c>
      <c r="AM36" s="215">
        <v>-0.43434343434343436</v>
      </c>
      <c r="AN36" s="30"/>
    </row>
    <row r="37" spans="1:40" ht="15" customHeight="1" outlineLevel="1" x14ac:dyDescent="0.2">
      <c r="A37" s="133" t="s">
        <v>585</v>
      </c>
      <c r="B37" s="202"/>
      <c r="C37" s="202"/>
      <c r="D37" s="308"/>
      <c r="E37" s="308"/>
      <c r="F37" s="308"/>
      <c r="G37" s="308"/>
      <c r="H37" s="308"/>
      <c r="I37" s="27"/>
      <c r="J37" s="27"/>
      <c r="K37" s="27"/>
      <c r="L37" s="27"/>
      <c r="M37" s="27"/>
      <c r="N37" s="27"/>
      <c r="O37" s="27"/>
      <c r="P37" s="27"/>
      <c r="Q37" s="27"/>
      <c r="R37" s="308"/>
      <c r="S37" s="308"/>
      <c r="T37" s="308">
        <v>16</v>
      </c>
      <c r="U37" s="308">
        <v>185</v>
      </c>
      <c r="V37" s="215"/>
      <c r="W37" s="215"/>
      <c r="X37" s="215"/>
      <c r="Y37" s="215"/>
      <c r="Z37" s="215"/>
      <c r="AA37" s="215"/>
      <c r="AB37" s="215"/>
      <c r="AC37" s="215"/>
      <c r="AD37" s="215"/>
      <c r="AE37" s="215"/>
      <c r="AF37" s="215"/>
      <c r="AG37" s="215"/>
      <c r="AH37" s="215"/>
      <c r="AI37" s="215"/>
      <c r="AJ37" s="215"/>
      <c r="AK37" s="215"/>
      <c r="AL37" s="215"/>
      <c r="AM37" s="215"/>
      <c r="AN37" s="30"/>
    </row>
    <row r="38" spans="1:40" ht="15" customHeight="1" outlineLevel="1" x14ac:dyDescent="0.2">
      <c r="A38" s="167" t="s">
        <v>367</v>
      </c>
      <c r="B38" s="203">
        <v>42</v>
      </c>
      <c r="C38" s="203">
        <v>34</v>
      </c>
      <c r="D38" s="308">
        <v>48</v>
      </c>
      <c r="E38" s="308">
        <v>35</v>
      </c>
      <c r="F38" s="308">
        <v>56</v>
      </c>
      <c r="G38" s="308">
        <v>31</v>
      </c>
      <c r="H38" s="308">
        <v>56</v>
      </c>
      <c r="I38" s="27">
        <v>35</v>
      </c>
      <c r="J38" s="27">
        <v>54</v>
      </c>
      <c r="K38" s="27">
        <v>36</v>
      </c>
      <c r="L38" s="27">
        <v>6</v>
      </c>
      <c r="M38" s="27">
        <v>9</v>
      </c>
      <c r="N38" s="27">
        <v>30</v>
      </c>
      <c r="O38" s="27">
        <v>43</v>
      </c>
      <c r="P38" s="27">
        <v>50</v>
      </c>
      <c r="Q38" s="27">
        <v>117</v>
      </c>
      <c r="R38" s="308">
        <v>116</v>
      </c>
      <c r="S38" s="308">
        <v>118</v>
      </c>
      <c r="T38" s="308">
        <v>185</v>
      </c>
      <c r="U38" s="308">
        <v>55</v>
      </c>
      <c r="V38" s="215">
        <v>0.14285714285714279</v>
      </c>
      <c r="W38" s="215">
        <v>2.9411764705882248E-2</v>
      </c>
      <c r="X38" s="215">
        <v>0.16666666666666674</v>
      </c>
      <c r="Y38" s="215">
        <v>-0.11428571428571432</v>
      </c>
      <c r="Z38" s="215">
        <v>0</v>
      </c>
      <c r="AA38" s="215">
        <v>0.12903225806451624</v>
      </c>
      <c r="AB38" s="215">
        <v>-3.5714285714285698E-2</v>
      </c>
      <c r="AC38" s="215">
        <v>2.857142857142847E-2</v>
      </c>
      <c r="AD38" s="215">
        <v>-0.88888888888888884</v>
      </c>
      <c r="AE38" s="215">
        <v>-0.75</v>
      </c>
      <c r="AF38" s="215">
        <v>4</v>
      </c>
      <c r="AG38" s="215">
        <v>3.7777777777777777</v>
      </c>
      <c r="AH38" s="215">
        <v>0.66666666666666674</v>
      </c>
      <c r="AI38" s="215">
        <v>1.7209302325581395</v>
      </c>
      <c r="AJ38" s="215">
        <v>1.3199999999999998</v>
      </c>
      <c r="AK38" s="215">
        <v>8.5470085470085166E-3</v>
      </c>
      <c r="AL38" s="215">
        <v>0.59482758620689657</v>
      </c>
      <c r="AM38" s="215">
        <v>-0.53389830508474578</v>
      </c>
      <c r="AN38" s="30"/>
    </row>
    <row r="39" spans="1:40" ht="15" customHeight="1" outlineLevel="1" x14ac:dyDescent="0.2">
      <c r="A39" s="167" t="s">
        <v>93</v>
      </c>
      <c r="B39" s="203">
        <v>593</v>
      </c>
      <c r="C39" s="203">
        <v>591</v>
      </c>
      <c r="D39" s="308">
        <v>886</v>
      </c>
      <c r="E39" s="308">
        <v>965</v>
      </c>
      <c r="F39" s="308">
        <v>752</v>
      </c>
      <c r="G39" s="308">
        <v>784</v>
      </c>
      <c r="H39" s="308">
        <v>901</v>
      </c>
      <c r="I39" s="27">
        <v>880</v>
      </c>
      <c r="J39" s="27">
        <v>716</v>
      </c>
      <c r="K39" s="27">
        <v>815</v>
      </c>
      <c r="L39" s="27">
        <v>274</v>
      </c>
      <c r="M39" s="27">
        <v>399</v>
      </c>
      <c r="N39" s="27">
        <v>357</v>
      </c>
      <c r="O39" s="27">
        <v>405</v>
      </c>
      <c r="P39" s="27">
        <v>441</v>
      </c>
      <c r="Q39" s="27">
        <v>510</v>
      </c>
      <c r="R39" s="308">
        <v>464</v>
      </c>
      <c r="S39" s="308">
        <v>432</v>
      </c>
      <c r="T39" s="308">
        <v>365</v>
      </c>
      <c r="U39" s="308">
        <v>442</v>
      </c>
      <c r="V39" s="215">
        <v>0.49409780775716694</v>
      </c>
      <c r="W39" s="215">
        <v>0.63282571912013541</v>
      </c>
      <c r="X39" s="215">
        <v>-0.15124153498871329</v>
      </c>
      <c r="Y39" s="215">
        <v>-0.18756476683937828</v>
      </c>
      <c r="Z39" s="215">
        <v>0.1981382978723405</v>
      </c>
      <c r="AA39" s="215">
        <v>0.12244897959183665</v>
      </c>
      <c r="AB39" s="215">
        <v>-0.20532741398446175</v>
      </c>
      <c r="AC39" s="215">
        <v>-7.3863636363636354E-2</v>
      </c>
      <c r="AD39" s="215">
        <v>-0.61731843575418988</v>
      </c>
      <c r="AE39" s="215">
        <v>-0.51042944785276068</v>
      </c>
      <c r="AF39" s="215">
        <v>0.30291970802919699</v>
      </c>
      <c r="AG39" s="215">
        <v>1.5037593984962516E-2</v>
      </c>
      <c r="AH39" s="215">
        <v>0.23529411764705888</v>
      </c>
      <c r="AI39" s="215">
        <v>0.2592592592592593</v>
      </c>
      <c r="AJ39" s="215">
        <v>5.2154195011337778E-2</v>
      </c>
      <c r="AK39" s="215">
        <v>-0.15294117647058825</v>
      </c>
      <c r="AL39" s="215">
        <v>-0.21336206896551724</v>
      </c>
      <c r="AM39" s="215">
        <v>2.314814814814814E-2</v>
      </c>
      <c r="AN39" s="30"/>
    </row>
    <row r="40" spans="1:40" ht="15" customHeight="1" outlineLevel="1" x14ac:dyDescent="0.2">
      <c r="A40" s="167" t="s">
        <v>96</v>
      </c>
      <c r="B40" s="203">
        <v>880</v>
      </c>
      <c r="C40" s="203">
        <v>859</v>
      </c>
      <c r="D40" s="308">
        <v>729</v>
      </c>
      <c r="E40" s="308">
        <v>731</v>
      </c>
      <c r="F40" s="308">
        <v>651</v>
      </c>
      <c r="G40" s="308">
        <v>561</v>
      </c>
      <c r="H40" s="308">
        <v>573</v>
      </c>
      <c r="I40" s="27">
        <v>518</v>
      </c>
      <c r="J40" s="27">
        <v>382</v>
      </c>
      <c r="K40" s="27">
        <v>360</v>
      </c>
      <c r="L40" s="27">
        <v>216</v>
      </c>
      <c r="M40" s="27">
        <v>216</v>
      </c>
      <c r="N40" s="27">
        <v>205</v>
      </c>
      <c r="O40" s="27">
        <v>246</v>
      </c>
      <c r="P40" s="27">
        <v>355</v>
      </c>
      <c r="Q40" s="27">
        <v>348</v>
      </c>
      <c r="R40" s="308">
        <v>407</v>
      </c>
      <c r="S40" s="308">
        <v>403</v>
      </c>
      <c r="T40" s="308">
        <v>385</v>
      </c>
      <c r="U40" s="308">
        <v>294</v>
      </c>
      <c r="V40" s="215">
        <v>-0.17159090909090913</v>
      </c>
      <c r="W40" s="215">
        <v>-0.14901047729918515</v>
      </c>
      <c r="X40" s="215">
        <v>-0.10699588477366251</v>
      </c>
      <c r="Y40" s="215">
        <v>-0.23255813953488369</v>
      </c>
      <c r="Z40" s="215">
        <v>-0.11981566820276501</v>
      </c>
      <c r="AA40" s="215">
        <v>-7.6648841354723718E-2</v>
      </c>
      <c r="AB40" s="215">
        <v>-0.33333333333333337</v>
      </c>
      <c r="AC40" s="215">
        <v>-0.30501930501930496</v>
      </c>
      <c r="AD40" s="215">
        <v>-0.43455497382198949</v>
      </c>
      <c r="AE40" s="215">
        <v>-0.4</v>
      </c>
      <c r="AF40" s="215">
        <v>-5.092592592592593E-2</v>
      </c>
      <c r="AG40" s="215">
        <v>0.13888888888888884</v>
      </c>
      <c r="AH40" s="215">
        <v>0.73170731707317072</v>
      </c>
      <c r="AI40" s="215">
        <v>0.41463414634146334</v>
      </c>
      <c r="AJ40" s="215">
        <v>0.14647887323943665</v>
      </c>
      <c r="AK40" s="215">
        <v>0.15804597701149414</v>
      </c>
      <c r="AL40" s="215">
        <v>-5.4054054054054057E-2</v>
      </c>
      <c r="AM40" s="215">
        <v>-0.27047146401985112</v>
      </c>
      <c r="AN40" s="30"/>
    </row>
    <row r="41" spans="1:40" ht="15" customHeight="1" outlineLevel="1" x14ac:dyDescent="0.2">
      <c r="A41" s="167" t="s">
        <v>100</v>
      </c>
      <c r="B41" s="203"/>
      <c r="C41" s="203"/>
      <c r="D41" s="308"/>
      <c r="E41" s="308"/>
      <c r="F41" s="308"/>
      <c r="G41" s="308"/>
      <c r="H41" s="308"/>
      <c r="I41" s="27"/>
      <c r="J41" s="27"/>
      <c r="K41" s="27"/>
      <c r="L41" s="27"/>
      <c r="M41" s="27"/>
      <c r="N41" s="27"/>
      <c r="O41" s="27"/>
      <c r="P41" s="27"/>
      <c r="Q41" s="27"/>
      <c r="R41" s="308">
        <v>0</v>
      </c>
      <c r="S41" s="308"/>
      <c r="T41" s="308">
        <v>61</v>
      </c>
      <c r="U41" s="308">
        <v>0</v>
      </c>
      <c r="V41" s="215"/>
      <c r="W41" s="215"/>
      <c r="X41" s="215"/>
      <c r="Y41" s="215"/>
      <c r="Z41" s="215"/>
      <c r="AA41" s="215"/>
      <c r="AB41" s="215"/>
      <c r="AC41" s="215"/>
      <c r="AD41" s="215"/>
      <c r="AE41" s="215"/>
      <c r="AF41" s="215"/>
      <c r="AG41" s="215"/>
      <c r="AH41" s="215"/>
      <c r="AI41" s="215"/>
      <c r="AJ41" s="215"/>
      <c r="AK41" s="215"/>
      <c r="AL41" s="215"/>
      <c r="AM41" s="215"/>
      <c r="AN41" s="30"/>
    </row>
    <row r="42" spans="1:40" ht="15" customHeight="1" outlineLevel="1" x14ac:dyDescent="0.2">
      <c r="A42" s="167" t="s">
        <v>97</v>
      </c>
      <c r="B42" s="203">
        <v>33</v>
      </c>
      <c r="C42" s="203">
        <v>22</v>
      </c>
      <c r="D42" s="308">
        <v>14</v>
      </c>
      <c r="E42" s="308">
        <v>20</v>
      </c>
      <c r="F42" s="308">
        <v>0</v>
      </c>
      <c r="G42" s="308">
        <v>3</v>
      </c>
      <c r="H42" s="308">
        <v>0</v>
      </c>
      <c r="I42" s="27">
        <v>0</v>
      </c>
      <c r="J42" s="27">
        <v>0</v>
      </c>
      <c r="K42" s="27">
        <v>0</v>
      </c>
      <c r="L42" s="27"/>
      <c r="M42" s="27"/>
      <c r="N42" s="27"/>
      <c r="O42" s="27"/>
      <c r="P42" s="27"/>
      <c r="Q42" s="27"/>
      <c r="R42" s="308"/>
      <c r="S42" s="308"/>
      <c r="T42" s="308"/>
      <c r="U42" s="308"/>
      <c r="V42" s="215">
        <v>-0.57575757575757569</v>
      </c>
      <c r="W42" s="215">
        <v>-9.0909090909090939E-2</v>
      </c>
      <c r="X42" s="215">
        <v>-1</v>
      </c>
      <c r="Y42" s="215">
        <v>-0.85</v>
      </c>
      <c r="Z42" s="215" t="s">
        <v>67</v>
      </c>
      <c r="AA42" s="215">
        <v>-1</v>
      </c>
      <c r="AB42" s="215"/>
      <c r="AC42" s="215"/>
      <c r="AD42" s="215"/>
      <c r="AE42" s="215"/>
      <c r="AF42" s="215"/>
      <c r="AG42" s="215"/>
      <c r="AH42" s="215"/>
      <c r="AI42" s="215"/>
      <c r="AJ42" s="215"/>
      <c r="AK42" s="215"/>
      <c r="AL42" s="215"/>
      <c r="AM42" s="215"/>
      <c r="AN42" s="30"/>
    </row>
    <row r="43" spans="1:40" ht="15" customHeight="1" x14ac:dyDescent="0.2">
      <c r="A43" s="323" t="s">
        <v>98</v>
      </c>
      <c r="B43" s="122">
        <v>3893</v>
      </c>
      <c r="C43" s="122">
        <v>3020</v>
      </c>
      <c r="D43" s="122">
        <v>3238</v>
      </c>
      <c r="E43" s="122">
        <v>2525</v>
      </c>
      <c r="F43" s="122">
        <v>3860</v>
      </c>
      <c r="G43" s="122">
        <v>3887</v>
      </c>
      <c r="H43" s="122">
        <v>4027</v>
      </c>
      <c r="I43" s="122">
        <v>7057</v>
      </c>
      <c r="J43" s="122">
        <v>6325</v>
      </c>
      <c r="K43" s="122">
        <v>6858</v>
      </c>
      <c r="L43" s="122">
        <v>6174</v>
      </c>
      <c r="M43" s="122">
        <v>5775</v>
      </c>
      <c r="N43" s="122">
        <v>7734</v>
      </c>
      <c r="O43" s="122">
        <v>8167</v>
      </c>
      <c r="P43" s="122">
        <v>8645</v>
      </c>
      <c r="Q43" s="122">
        <v>8454</v>
      </c>
      <c r="R43" s="122">
        <v>9625</v>
      </c>
      <c r="S43" s="427">
        <v>10499</v>
      </c>
      <c r="T43" s="122">
        <v>9420</v>
      </c>
      <c r="U43" s="122">
        <v>9693</v>
      </c>
      <c r="V43" s="215">
        <v>-0.16825070639609552</v>
      </c>
      <c r="W43" s="215">
        <v>-0.16390728476821192</v>
      </c>
      <c r="X43" s="215">
        <v>0.19209388511426817</v>
      </c>
      <c r="Y43" s="215">
        <v>0.53940594059405944</v>
      </c>
      <c r="Z43" s="215">
        <v>4.3264248704663277E-2</v>
      </c>
      <c r="AA43" s="215">
        <v>0.8155389760740932</v>
      </c>
      <c r="AB43" s="215">
        <v>0.57064812515520247</v>
      </c>
      <c r="AC43" s="215">
        <v>-2.8198951395777216E-2</v>
      </c>
      <c r="AD43" s="215">
        <v>-2.3873517786561216E-2</v>
      </c>
      <c r="AE43" s="215">
        <v>-0.15791776027996496</v>
      </c>
      <c r="AF43" s="215">
        <v>0.25267249757045684</v>
      </c>
      <c r="AG43" s="215">
        <v>0.41419913419913423</v>
      </c>
      <c r="AH43" s="215">
        <v>0.11779156969226801</v>
      </c>
      <c r="AI43" s="215">
        <v>3.5141422799069399E-2</v>
      </c>
      <c r="AJ43" s="215">
        <v>0.11336032388663964</v>
      </c>
      <c r="AK43" s="215">
        <v>0.24184876566146207</v>
      </c>
      <c r="AL43" s="215">
        <v>-2.1298701298701261E-2</v>
      </c>
      <c r="AM43" s="215">
        <v>-7.6769216115820549E-2</v>
      </c>
      <c r="AN43" s="30"/>
    </row>
    <row r="44" spans="1:40" ht="15" customHeight="1" outlineLevel="1" x14ac:dyDescent="0.2">
      <c r="A44" s="324" t="s">
        <v>91</v>
      </c>
      <c r="B44" s="202">
        <v>2972</v>
      </c>
      <c r="C44" s="202">
        <v>1768</v>
      </c>
      <c r="D44" s="308">
        <v>1236</v>
      </c>
      <c r="E44" s="308">
        <v>1568</v>
      </c>
      <c r="F44" s="308">
        <v>2754</v>
      </c>
      <c r="G44" s="308">
        <v>1617</v>
      </c>
      <c r="H44" s="308">
        <v>2526</v>
      </c>
      <c r="I44" s="27">
        <v>1250</v>
      </c>
      <c r="J44" s="27">
        <v>1032</v>
      </c>
      <c r="K44" s="203">
        <v>439</v>
      </c>
      <c r="L44" s="203">
        <v>652</v>
      </c>
      <c r="M44" s="203">
        <v>1227</v>
      </c>
      <c r="N44" s="203">
        <v>1124</v>
      </c>
      <c r="O44" s="203">
        <v>664</v>
      </c>
      <c r="P44" s="203">
        <v>579</v>
      </c>
      <c r="Q44" s="203">
        <v>1325</v>
      </c>
      <c r="R44" s="202">
        <v>817</v>
      </c>
      <c r="S44" s="202">
        <v>118</v>
      </c>
      <c r="T44" s="202">
        <v>209</v>
      </c>
      <c r="U44" s="202">
        <v>132</v>
      </c>
      <c r="V44" s="215">
        <v>-0.5841184387617766</v>
      </c>
      <c r="W44" s="215">
        <v>-0.1131221719457014</v>
      </c>
      <c r="X44" s="215">
        <v>1.2281553398058254</v>
      </c>
      <c r="Y44" s="215">
        <v>3.125E-2</v>
      </c>
      <c r="Z44" s="215">
        <v>-8.2788671023965144E-2</v>
      </c>
      <c r="AA44" s="215">
        <v>-0.22696351267779835</v>
      </c>
      <c r="AB44" s="215">
        <v>-0.59144893111638952</v>
      </c>
      <c r="AC44" s="215">
        <v>-0.64880000000000004</v>
      </c>
      <c r="AD44" s="215">
        <v>-0.36821705426356588</v>
      </c>
      <c r="AE44" s="215">
        <v>1.7949886104783599</v>
      </c>
      <c r="AF44" s="215">
        <v>0.7239263803680982</v>
      </c>
      <c r="AG44" s="215">
        <v>-0.45884270578647102</v>
      </c>
      <c r="AH44" s="215">
        <v>-0.48487544483985767</v>
      </c>
      <c r="AI44" s="215">
        <v>0.99548192771084332</v>
      </c>
      <c r="AJ44" s="215">
        <v>0.41105354058721932</v>
      </c>
      <c r="AK44" s="215">
        <v>-0.91094339622641507</v>
      </c>
      <c r="AL44" s="215">
        <v>-0.73684210526315796</v>
      </c>
      <c r="AM44" s="215">
        <v>0.11864406779661008</v>
      </c>
      <c r="AN44" s="30"/>
    </row>
    <row r="45" spans="1:40" ht="15" customHeight="1" outlineLevel="1" x14ac:dyDescent="0.2">
      <c r="A45" s="324" t="s">
        <v>97</v>
      </c>
      <c r="B45" s="202">
        <v>14</v>
      </c>
      <c r="C45" s="202">
        <v>14</v>
      </c>
      <c r="D45" s="308">
        <v>20</v>
      </c>
      <c r="E45" s="308">
        <v>7</v>
      </c>
      <c r="F45" s="308">
        <v>0</v>
      </c>
      <c r="G45" s="308">
        <v>20</v>
      </c>
      <c r="H45" s="308">
        <v>0</v>
      </c>
      <c r="I45" s="27">
        <v>0</v>
      </c>
      <c r="J45" s="27">
        <v>0</v>
      </c>
      <c r="K45" s="203">
        <v>0</v>
      </c>
      <c r="L45" s="203"/>
      <c r="M45" s="203">
        <v>0</v>
      </c>
      <c r="N45" s="203">
        <v>0</v>
      </c>
      <c r="O45" s="203">
        <v>0</v>
      </c>
      <c r="P45" s="203">
        <v>0</v>
      </c>
      <c r="Q45" s="203">
        <v>0</v>
      </c>
      <c r="R45" s="202">
        <v>0</v>
      </c>
      <c r="S45" s="202">
        <v>0</v>
      </c>
      <c r="T45" s="202">
        <v>0</v>
      </c>
      <c r="U45" s="202">
        <v>0</v>
      </c>
      <c r="V45" s="215">
        <v>0.4285714285714286</v>
      </c>
      <c r="W45" s="215">
        <v>-0.5</v>
      </c>
      <c r="X45" s="215">
        <v>-1</v>
      </c>
      <c r="Y45" s="215">
        <v>1.8571428571428572</v>
      </c>
      <c r="Z45" s="215" t="s">
        <v>67</v>
      </c>
      <c r="AA45" s="215">
        <v>-1</v>
      </c>
      <c r="AB45" s="215"/>
      <c r="AC45" s="215"/>
      <c r="AD45" s="215"/>
      <c r="AE45" s="215"/>
      <c r="AF45" s="215"/>
      <c r="AG45" s="215"/>
      <c r="AH45" s="215"/>
      <c r="AI45" s="215"/>
      <c r="AJ45" s="215"/>
      <c r="AK45" s="215"/>
      <c r="AL45" s="215"/>
      <c r="AM45" s="215"/>
      <c r="AN45" s="30"/>
    </row>
    <row r="46" spans="1:40" ht="15" customHeight="1" outlineLevel="1" x14ac:dyDescent="0.2">
      <c r="A46" s="266" t="s">
        <v>92</v>
      </c>
      <c r="B46" s="203">
        <v>375</v>
      </c>
      <c r="C46" s="203">
        <v>328</v>
      </c>
      <c r="D46" s="308">
        <v>367</v>
      </c>
      <c r="E46" s="308">
        <v>354</v>
      </c>
      <c r="F46" s="308">
        <v>373</v>
      </c>
      <c r="G46" s="308">
        <v>370</v>
      </c>
      <c r="H46" s="308">
        <v>498</v>
      </c>
      <c r="I46" s="27">
        <v>377</v>
      </c>
      <c r="J46" s="27">
        <v>415</v>
      </c>
      <c r="K46" s="203">
        <v>402</v>
      </c>
      <c r="L46" s="203">
        <v>252</v>
      </c>
      <c r="M46" s="203">
        <v>272</v>
      </c>
      <c r="N46" s="203">
        <v>215</v>
      </c>
      <c r="O46" s="203">
        <v>279</v>
      </c>
      <c r="P46" s="203">
        <v>301</v>
      </c>
      <c r="Q46" s="203">
        <v>371</v>
      </c>
      <c r="R46" s="202">
        <v>377</v>
      </c>
      <c r="S46" s="202">
        <v>316</v>
      </c>
      <c r="T46" s="202">
        <v>307</v>
      </c>
      <c r="U46" s="202">
        <v>336</v>
      </c>
      <c r="V46" s="215">
        <v>-2.1333333333333315E-2</v>
      </c>
      <c r="W46" s="215">
        <v>7.92682926829269E-2</v>
      </c>
      <c r="X46" s="215">
        <v>1.6348773841961872E-2</v>
      </c>
      <c r="Y46" s="215">
        <v>4.5197740112994378E-2</v>
      </c>
      <c r="Z46" s="215">
        <v>0.33512064343163539</v>
      </c>
      <c r="AA46" s="215">
        <v>1.8918918918918948E-2</v>
      </c>
      <c r="AB46" s="215">
        <v>-0.16666666666666663</v>
      </c>
      <c r="AC46" s="215">
        <v>6.6312997347480085E-2</v>
      </c>
      <c r="AD46" s="215">
        <v>-0.39277108433734942</v>
      </c>
      <c r="AE46" s="215">
        <v>-0.3233830845771144</v>
      </c>
      <c r="AF46" s="215">
        <v>-0.14682539682539686</v>
      </c>
      <c r="AG46" s="215">
        <v>2.5735294117646967E-2</v>
      </c>
      <c r="AH46" s="215">
        <v>0.39999999999999991</v>
      </c>
      <c r="AI46" s="215">
        <v>0.32974910394265233</v>
      </c>
      <c r="AJ46" s="215">
        <v>0.25249169435215957</v>
      </c>
      <c r="AK46" s="215">
        <v>-0.14824797843665771</v>
      </c>
      <c r="AL46" s="215">
        <v>-0.18567639257294433</v>
      </c>
      <c r="AM46" s="215">
        <v>6.3291139240506222E-2</v>
      </c>
      <c r="AN46" s="30"/>
    </row>
    <row r="47" spans="1:40" ht="15" customHeight="1" outlineLevel="1" x14ac:dyDescent="0.2">
      <c r="A47" s="266" t="s">
        <v>94</v>
      </c>
      <c r="B47" s="203">
        <v>486</v>
      </c>
      <c r="C47" s="203">
        <v>559</v>
      </c>
      <c r="D47" s="308">
        <v>599</v>
      </c>
      <c r="E47" s="308">
        <v>566</v>
      </c>
      <c r="F47" s="308">
        <v>543</v>
      </c>
      <c r="G47" s="308">
        <v>654</v>
      </c>
      <c r="H47" s="308">
        <v>696</v>
      </c>
      <c r="I47" s="27">
        <v>664</v>
      </c>
      <c r="J47" s="27">
        <v>619</v>
      </c>
      <c r="K47" s="203">
        <v>1124</v>
      </c>
      <c r="L47" s="203">
        <v>908</v>
      </c>
      <c r="M47" s="203">
        <v>1173</v>
      </c>
      <c r="N47" s="202">
        <v>1010</v>
      </c>
      <c r="O47" s="203">
        <v>1313</v>
      </c>
      <c r="P47" s="203">
        <v>1613</v>
      </c>
      <c r="Q47" s="203">
        <v>1538</v>
      </c>
      <c r="R47" s="202">
        <v>783</v>
      </c>
      <c r="S47" s="202">
        <v>1301</v>
      </c>
      <c r="T47" s="202">
        <v>1551</v>
      </c>
      <c r="U47" s="202">
        <v>1358</v>
      </c>
      <c r="V47" s="215">
        <v>0.23251028806584362</v>
      </c>
      <c r="W47" s="215">
        <v>1.2522361359570633E-2</v>
      </c>
      <c r="X47" s="215">
        <v>-9.348914858096824E-2</v>
      </c>
      <c r="Y47" s="215">
        <v>0.15547703180212014</v>
      </c>
      <c r="Z47" s="215">
        <v>0.28176795580110503</v>
      </c>
      <c r="AA47" s="215">
        <v>1.5290519877675823E-2</v>
      </c>
      <c r="AB47" s="215">
        <v>-0.11063218390804597</v>
      </c>
      <c r="AC47" s="215">
        <v>0.69277108433734935</v>
      </c>
      <c r="AD47" s="215">
        <v>0.46688206785137321</v>
      </c>
      <c r="AE47" s="215">
        <v>4.3594306049822062E-2</v>
      </c>
      <c r="AF47" s="215">
        <v>0.11013215859030834</v>
      </c>
      <c r="AG47" s="215">
        <v>0.11935208866155156</v>
      </c>
      <c r="AH47" s="215">
        <v>0.60019841269841279</v>
      </c>
      <c r="AI47" s="215">
        <v>0.17136329017517138</v>
      </c>
      <c r="AJ47" s="215">
        <v>-0.51456912585244885</v>
      </c>
      <c r="AK47" s="215">
        <v>-0.15409622886866059</v>
      </c>
      <c r="AL47" s="215">
        <v>0.9808429118773947</v>
      </c>
      <c r="AM47" s="215">
        <v>4.3812451960030696E-2</v>
      </c>
      <c r="AN47" s="30"/>
    </row>
    <row r="48" spans="1:40" ht="15" customHeight="1" outlineLevel="1" x14ac:dyDescent="0.2">
      <c r="A48" s="266" t="s">
        <v>585</v>
      </c>
      <c r="B48" s="203"/>
      <c r="C48" s="203"/>
      <c r="D48" s="308"/>
      <c r="E48" s="308"/>
      <c r="F48" s="308"/>
      <c r="G48" s="308"/>
      <c r="H48" s="308"/>
      <c r="I48" s="27"/>
      <c r="J48" s="27"/>
      <c r="K48" s="203"/>
      <c r="L48" s="203"/>
      <c r="M48" s="203"/>
      <c r="N48" s="202"/>
      <c r="O48" s="203"/>
      <c r="P48" s="203"/>
      <c r="Q48" s="203"/>
      <c r="R48" s="202"/>
      <c r="S48" s="202"/>
      <c r="T48" s="202">
        <v>6</v>
      </c>
      <c r="U48" s="202">
        <v>35</v>
      </c>
      <c r="V48" s="215"/>
      <c r="W48" s="215"/>
      <c r="X48" s="215"/>
      <c r="Y48" s="215"/>
      <c r="Z48" s="215"/>
      <c r="AA48" s="215"/>
      <c r="AB48" s="215"/>
      <c r="AC48" s="215"/>
      <c r="AD48" s="215"/>
      <c r="AE48" s="215"/>
      <c r="AF48" s="215"/>
      <c r="AG48" s="215"/>
      <c r="AH48" s="215"/>
      <c r="AI48" s="215"/>
      <c r="AJ48" s="215"/>
      <c r="AK48" s="215"/>
      <c r="AL48" s="215"/>
      <c r="AM48" s="215"/>
      <c r="AN48" s="30"/>
    </row>
    <row r="49" spans="1:43" ht="15" customHeight="1" outlineLevel="1" x14ac:dyDescent="0.2">
      <c r="A49" s="266" t="s">
        <v>99</v>
      </c>
      <c r="B49" s="203">
        <v>0</v>
      </c>
      <c r="C49" s="203">
        <v>1183</v>
      </c>
      <c r="D49" s="308">
        <v>0</v>
      </c>
      <c r="E49" s="308">
        <v>1151</v>
      </c>
      <c r="F49" s="308">
        <v>0</v>
      </c>
      <c r="G49" s="308">
        <v>958</v>
      </c>
      <c r="H49" s="308">
        <v>0</v>
      </c>
      <c r="I49" s="27">
        <v>0</v>
      </c>
      <c r="J49" s="27">
        <v>0</v>
      </c>
      <c r="K49" s="203">
        <v>0</v>
      </c>
      <c r="L49" s="203">
        <v>4</v>
      </c>
      <c r="M49" s="203">
        <v>0</v>
      </c>
      <c r="N49" s="203">
        <v>698</v>
      </c>
      <c r="O49" s="203">
        <v>568</v>
      </c>
      <c r="P49" s="203">
        <v>1164</v>
      </c>
      <c r="Q49" s="203">
        <v>1202</v>
      </c>
      <c r="R49" s="202">
        <v>6</v>
      </c>
      <c r="S49" s="202">
        <v>1539</v>
      </c>
      <c r="T49" s="202">
        <v>6</v>
      </c>
      <c r="U49" s="202">
        <v>1996</v>
      </c>
      <c r="V49" s="215"/>
      <c r="W49" s="215"/>
      <c r="X49" s="215"/>
      <c r="Y49" s="215"/>
      <c r="Z49" s="215"/>
      <c r="AA49" s="215"/>
      <c r="AB49" s="215"/>
      <c r="AC49" s="215"/>
      <c r="AD49" s="215"/>
      <c r="AE49" s="215"/>
      <c r="AF49" s="215"/>
      <c r="AG49" s="215"/>
      <c r="AH49" s="215"/>
      <c r="AI49" s="215"/>
      <c r="AJ49" s="215"/>
      <c r="AK49" s="215">
        <v>0.28036605657237934</v>
      </c>
      <c r="AL49" s="215">
        <v>0</v>
      </c>
      <c r="AM49" s="215">
        <v>0.29694606887589337</v>
      </c>
      <c r="AN49" s="30"/>
    </row>
    <row r="50" spans="1:43" ht="15" customHeight="1" outlineLevel="1" x14ac:dyDescent="0.2">
      <c r="A50" s="266" t="s">
        <v>93</v>
      </c>
      <c r="B50" s="203">
        <v>44</v>
      </c>
      <c r="C50" s="203">
        <v>0</v>
      </c>
      <c r="D50" s="308">
        <v>8</v>
      </c>
      <c r="E50" s="308">
        <v>6</v>
      </c>
      <c r="F50" s="308">
        <v>3</v>
      </c>
      <c r="G50" s="308">
        <v>3</v>
      </c>
      <c r="H50" s="308">
        <v>41</v>
      </c>
      <c r="I50" s="27">
        <v>3</v>
      </c>
      <c r="J50" s="27">
        <v>28</v>
      </c>
      <c r="K50" s="203">
        <v>27</v>
      </c>
      <c r="L50" s="203">
        <v>156</v>
      </c>
      <c r="M50" s="203">
        <v>159</v>
      </c>
      <c r="N50" s="203">
        <v>205</v>
      </c>
      <c r="O50" s="203">
        <v>230</v>
      </c>
      <c r="P50" s="203">
        <v>183</v>
      </c>
      <c r="Q50" s="203">
        <v>180</v>
      </c>
      <c r="R50" s="202">
        <v>189</v>
      </c>
      <c r="S50" s="202">
        <v>164</v>
      </c>
      <c r="T50" s="202">
        <v>77</v>
      </c>
      <c r="U50" s="202">
        <v>70</v>
      </c>
      <c r="V50" s="215">
        <v>-0.81818181818181812</v>
      </c>
      <c r="W50" s="215"/>
      <c r="X50" s="215">
        <v>-0.625</v>
      </c>
      <c r="Y50" s="215">
        <v>-0.5</v>
      </c>
      <c r="Z50" s="215">
        <v>12.666666666666666</v>
      </c>
      <c r="AA50" s="215">
        <v>0</v>
      </c>
      <c r="AB50" s="215">
        <v>-0.31707317073170727</v>
      </c>
      <c r="AC50" s="215">
        <v>8</v>
      </c>
      <c r="AD50" s="215">
        <v>4.5714285714285712</v>
      </c>
      <c r="AE50" s="215">
        <v>4.8888888888888893</v>
      </c>
      <c r="AF50" s="215">
        <v>0.3141025641025641</v>
      </c>
      <c r="AG50" s="215">
        <v>0.44654088050314455</v>
      </c>
      <c r="AH50" s="215">
        <v>-0.10731707317073169</v>
      </c>
      <c r="AI50" s="215">
        <v>-0.21739130434782605</v>
      </c>
      <c r="AJ50" s="215">
        <v>3.2786885245901676E-2</v>
      </c>
      <c r="AK50" s="215">
        <v>-8.8888888888888906E-2</v>
      </c>
      <c r="AL50" s="215">
        <v>-0.59259259259259256</v>
      </c>
      <c r="AM50" s="215">
        <v>-0.57317073170731714</v>
      </c>
      <c r="AN50" s="30"/>
    </row>
    <row r="51" spans="1:43" ht="15" customHeight="1" outlineLevel="1" x14ac:dyDescent="0.2">
      <c r="A51" s="266" t="s">
        <v>100</v>
      </c>
      <c r="B51" s="203">
        <v>0</v>
      </c>
      <c r="C51" s="203">
        <v>0</v>
      </c>
      <c r="D51" s="308">
        <v>0</v>
      </c>
      <c r="E51" s="308">
        <v>0</v>
      </c>
      <c r="F51" s="308">
        <v>2</v>
      </c>
      <c r="G51" s="308">
        <v>0</v>
      </c>
      <c r="H51" s="308">
        <v>3</v>
      </c>
      <c r="I51" s="27">
        <v>4</v>
      </c>
      <c r="J51" s="27">
        <v>5</v>
      </c>
      <c r="K51" s="203">
        <v>6</v>
      </c>
      <c r="L51" s="308">
        <v>5</v>
      </c>
      <c r="M51" s="308">
        <v>7</v>
      </c>
      <c r="N51" s="308">
        <v>0</v>
      </c>
      <c r="O51" s="308">
        <v>3</v>
      </c>
      <c r="P51" s="308">
        <v>1</v>
      </c>
      <c r="Q51" s="308">
        <v>0</v>
      </c>
      <c r="R51" s="308">
        <v>24</v>
      </c>
      <c r="S51" s="308">
        <v>4</v>
      </c>
      <c r="T51" s="308">
        <v>5</v>
      </c>
      <c r="U51" s="308">
        <v>0</v>
      </c>
      <c r="V51" s="215"/>
      <c r="W51" s="215"/>
      <c r="X51" s="215"/>
      <c r="Y51" s="215" t="s">
        <v>67</v>
      </c>
      <c r="Z51" s="215">
        <v>0.5</v>
      </c>
      <c r="AA51" s="215" t="s">
        <v>67</v>
      </c>
      <c r="AB51" s="215">
        <v>0.66666666666666674</v>
      </c>
      <c r="AC51" s="215">
        <v>0.5</v>
      </c>
      <c r="AD51" s="215">
        <v>0</v>
      </c>
      <c r="AE51" s="215">
        <v>0.16666666666666674</v>
      </c>
      <c r="AF51" s="215">
        <v>-0.6</v>
      </c>
      <c r="AG51" s="215">
        <v>-0.5714285714285714</v>
      </c>
      <c r="AH51" s="215">
        <v>-0.5</v>
      </c>
      <c r="AI51" s="215">
        <v>-1</v>
      </c>
      <c r="AJ51" s="215">
        <v>23</v>
      </c>
      <c r="AK51" s="215"/>
      <c r="AL51" s="215">
        <v>-0.79166666666666663</v>
      </c>
      <c r="AM51" s="215">
        <v>-1</v>
      </c>
      <c r="AN51" s="30"/>
    </row>
    <row r="52" spans="1:43" ht="15" customHeight="1" outlineLevel="1" x14ac:dyDescent="0.2">
      <c r="A52" s="266" t="s">
        <v>101</v>
      </c>
      <c r="B52" s="203">
        <v>21</v>
      </c>
      <c r="C52" s="203">
        <v>184</v>
      </c>
      <c r="D52" s="308">
        <v>120</v>
      </c>
      <c r="E52" s="308">
        <v>11</v>
      </c>
      <c r="F52" s="308">
        <v>5</v>
      </c>
      <c r="G52" s="308">
        <v>18</v>
      </c>
      <c r="H52" s="308">
        <v>18</v>
      </c>
      <c r="I52" s="27">
        <v>5</v>
      </c>
      <c r="J52" s="27">
        <v>1</v>
      </c>
      <c r="K52" s="203">
        <v>223</v>
      </c>
      <c r="L52" s="203">
        <v>23</v>
      </c>
      <c r="M52" s="203">
        <v>16</v>
      </c>
      <c r="N52" s="203">
        <v>5</v>
      </c>
      <c r="O52" s="203">
        <v>18</v>
      </c>
      <c r="P52" s="203">
        <v>2</v>
      </c>
      <c r="Q52" s="203">
        <v>1</v>
      </c>
      <c r="R52" s="202">
        <v>9</v>
      </c>
      <c r="S52" s="202">
        <v>10</v>
      </c>
      <c r="T52" s="202">
        <v>35</v>
      </c>
      <c r="U52" s="202">
        <v>36</v>
      </c>
      <c r="V52" s="215">
        <v>4.7142857142857144</v>
      </c>
      <c r="W52" s="215">
        <v>-0.94021739130434778</v>
      </c>
      <c r="X52" s="215">
        <v>-0.95833333333333337</v>
      </c>
      <c r="Y52" s="215">
        <v>0.63636363636363646</v>
      </c>
      <c r="Z52" s="215">
        <v>2.6</v>
      </c>
      <c r="AA52" s="215">
        <v>-0.72222222222222221</v>
      </c>
      <c r="AB52" s="215">
        <v>-0.94444444444444442</v>
      </c>
      <c r="AC52" s="215">
        <v>43.6</v>
      </c>
      <c r="AD52" s="215">
        <v>22</v>
      </c>
      <c r="AE52" s="215">
        <v>-0.9282511210762332</v>
      </c>
      <c r="AF52" s="215">
        <v>-0.78260869565217395</v>
      </c>
      <c r="AG52" s="215">
        <v>0.125</v>
      </c>
      <c r="AH52" s="215">
        <v>-0.6</v>
      </c>
      <c r="AI52" s="215">
        <v>-0.94444444444444442</v>
      </c>
      <c r="AJ52" s="215">
        <v>3.5</v>
      </c>
      <c r="AK52" s="215">
        <v>9</v>
      </c>
      <c r="AL52" s="215">
        <v>2.8888888888888888</v>
      </c>
      <c r="AM52" s="215">
        <v>2.6</v>
      </c>
      <c r="AN52" s="30"/>
      <c r="AP52" s="43"/>
      <c r="AQ52" s="43"/>
    </row>
    <row r="53" spans="1:43" ht="15" customHeight="1" outlineLevel="1" x14ac:dyDescent="0.2">
      <c r="A53" s="266" t="s">
        <v>95</v>
      </c>
      <c r="B53" s="203">
        <v>200</v>
      </c>
      <c r="C53" s="203">
        <v>214</v>
      </c>
      <c r="D53" s="308">
        <v>135</v>
      </c>
      <c r="E53" s="308">
        <v>193</v>
      </c>
      <c r="F53" s="308">
        <v>150</v>
      </c>
      <c r="G53" s="308">
        <v>230</v>
      </c>
      <c r="H53" s="308">
        <v>225</v>
      </c>
      <c r="I53" s="27">
        <v>233</v>
      </c>
      <c r="J53" s="27">
        <v>198</v>
      </c>
      <c r="K53" s="203">
        <v>181</v>
      </c>
      <c r="L53" s="203">
        <v>99</v>
      </c>
      <c r="M53" s="203">
        <v>129</v>
      </c>
      <c r="N53" s="203">
        <v>95</v>
      </c>
      <c r="O53" s="203">
        <v>133</v>
      </c>
      <c r="P53" s="203">
        <v>139</v>
      </c>
      <c r="Q53" s="203">
        <v>154</v>
      </c>
      <c r="R53" s="202">
        <v>147</v>
      </c>
      <c r="S53" s="202">
        <v>142</v>
      </c>
      <c r="T53" s="202">
        <v>162</v>
      </c>
      <c r="U53" s="202">
        <v>223</v>
      </c>
      <c r="V53" s="215">
        <v>-0.32499999999999996</v>
      </c>
      <c r="W53" s="215">
        <v>-9.8130841121495282E-2</v>
      </c>
      <c r="X53" s="215">
        <v>0.11111111111111116</v>
      </c>
      <c r="Y53" s="215">
        <v>0.19170984455958551</v>
      </c>
      <c r="Z53" s="215">
        <v>0.5</v>
      </c>
      <c r="AA53" s="215">
        <v>1.304347826086949E-2</v>
      </c>
      <c r="AB53" s="215">
        <v>-0.12</v>
      </c>
      <c r="AC53" s="215">
        <v>-0.22317596566523601</v>
      </c>
      <c r="AD53" s="215">
        <v>-0.5</v>
      </c>
      <c r="AE53" s="215">
        <v>-0.28729281767955805</v>
      </c>
      <c r="AF53" s="215">
        <v>-4.0404040404040442E-2</v>
      </c>
      <c r="AG53" s="215">
        <v>3.1007751937984551E-2</v>
      </c>
      <c r="AH53" s="215">
        <v>0.46315789473684221</v>
      </c>
      <c r="AI53" s="215">
        <v>0.15789473684210531</v>
      </c>
      <c r="AJ53" s="215">
        <v>5.755395683453246E-2</v>
      </c>
      <c r="AK53" s="215">
        <v>-7.7922077922077948E-2</v>
      </c>
      <c r="AL53" s="215">
        <v>0.1020408163265305</v>
      </c>
      <c r="AM53" s="215">
        <v>0.57042253521126751</v>
      </c>
      <c r="AN53" s="30"/>
    </row>
    <row r="54" spans="1:43" ht="15" customHeight="1" outlineLevel="1" x14ac:dyDescent="0.2">
      <c r="A54" s="266" t="s">
        <v>578</v>
      </c>
      <c r="B54" s="203"/>
      <c r="C54" s="203"/>
      <c r="D54" s="308"/>
      <c r="E54" s="308"/>
      <c r="F54" s="308"/>
      <c r="G54" s="308"/>
      <c r="H54" s="308"/>
      <c r="I54" s="27"/>
      <c r="J54" s="27"/>
      <c r="K54" s="203"/>
      <c r="L54" s="203"/>
      <c r="M54" s="203"/>
      <c r="N54" s="203"/>
      <c r="O54" s="203"/>
      <c r="P54" s="203"/>
      <c r="Q54" s="203"/>
      <c r="R54" s="202"/>
      <c r="S54" s="202"/>
      <c r="T54" s="202">
        <v>0</v>
      </c>
      <c r="U54" s="202">
        <v>146</v>
      </c>
      <c r="V54" s="215"/>
      <c r="W54" s="215"/>
      <c r="X54" s="215"/>
      <c r="Y54" s="215"/>
      <c r="Z54" s="215"/>
      <c r="AA54" s="215"/>
      <c r="AB54" s="215"/>
      <c r="AC54" s="215"/>
      <c r="AD54" s="215"/>
      <c r="AE54" s="215"/>
      <c r="AF54" s="215"/>
      <c r="AG54" s="215"/>
      <c r="AH54" s="215"/>
      <c r="AI54" s="215"/>
      <c r="AJ54" s="215"/>
      <c r="AK54" s="215"/>
      <c r="AL54" s="215"/>
      <c r="AM54" s="215"/>
      <c r="AN54" s="30"/>
    </row>
    <row r="55" spans="1:43" ht="15" customHeight="1" x14ac:dyDescent="0.2">
      <c r="A55" s="323" t="s">
        <v>102</v>
      </c>
      <c r="B55" s="122">
        <v>4112</v>
      </c>
      <c r="C55" s="122">
        <v>4250</v>
      </c>
      <c r="D55" s="122">
        <v>2485</v>
      </c>
      <c r="E55" s="122">
        <v>3856</v>
      </c>
      <c r="F55" s="122">
        <v>3830</v>
      </c>
      <c r="G55" s="122">
        <v>3870</v>
      </c>
      <c r="H55" s="122">
        <v>4007</v>
      </c>
      <c r="I55" s="122">
        <v>2536</v>
      </c>
      <c r="J55" s="122">
        <v>2298</v>
      </c>
      <c r="K55" s="122">
        <v>2402</v>
      </c>
      <c r="L55" s="122">
        <v>2099</v>
      </c>
      <c r="M55" s="122">
        <v>2983</v>
      </c>
      <c r="N55" s="122">
        <v>3352</v>
      </c>
      <c r="O55" s="122">
        <v>3208</v>
      </c>
      <c r="P55" s="122">
        <v>3982</v>
      </c>
      <c r="Q55" s="122">
        <v>4771</v>
      </c>
      <c r="R55" s="122">
        <v>2352</v>
      </c>
      <c r="S55" s="427">
        <v>3594</v>
      </c>
      <c r="T55" s="122">
        <v>2358</v>
      </c>
      <c r="U55" s="122">
        <v>4332</v>
      </c>
      <c r="V55" s="215">
        <v>-0.39567120622568097</v>
      </c>
      <c r="W55" s="215">
        <v>-9.2705882352941194E-2</v>
      </c>
      <c r="X55" s="215">
        <v>0.54124748490945684</v>
      </c>
      <c r="Y55" s="215">
        <v>3.6307053941908585E-3</v>
      </c>
      <c r="Z55" s="215">
        <v>4.6214099216710158E-2</v>
      </c>
      <c r="AA55" s="215">
        <v>-0.34470284237726101</v>
      </c>
      <c r="AB55" s="215">
        <v>-0.42650361866733222</v>
      </c>
      <c r="AC55" s="215">
        <v>-5.2839116719242907E-2</v>
      </c>
      <c r="AD55" s="215">
        <v>-8.659704090513487E-2</v>
      </c>
      <c r="AE55" s="215">
        <v>0.24188176519567017</v>
      </c>
      <c r="AF55" s="215">
        <v>0.59695092901381619</v>
      </c>
      <c r="AG55" s="215">
        <v>7.542742205833064E-2</v>
      </c>
      <c r="AH55" s="215">
        <v>0.18794749403341293</v>
      </c>
      <c r="AI55" s="215">
        <v>0.48721945137157108</v>
      </c>
      <c r="AJ55" s="215">
        <v>-0.4093420391762933</v>
      </c>
      <c r="AK55" s="215">
        <v>-0.24669880528191157</v>
      </c>
      <c r="AL55" s="215">
        <v>2.5510204081633514E-3</v>
      </c>
      <c r="AM55" s="215">
        <v>0.20534223706176968</v>
      </c>
      <c r="AN55" s="322"/>
    </row>
    <row r="56" spans="1:43" ht="15" customHeight="1" x14ac:dyDescent="0.2">
      <c r="A56" s="134" t="s">
        <v>593</v>
      </c>
      <c r="B56" s="203">
        <v>0</v>
      </c>
      <c r="C56" s="203">
        <v>0</v>
      </c>
      <c r="D56" s="202">
        <v>212</v>
      </c>
      <c r="E56" s="202">
        <v>0</v>
      </c>
      <c r="F56" s="202">
        <v>0</v>
      </c>
      <c r="G56" s="202">
        <v>0</v>
      </c>
      <c r="H56" s="202">
        <v>0</v>
      </c>
      <c r="I56" s="203">
        <v>0</v>
      </c>
      <c r="J56" s="203">
        <v>408</v>
      </c>
      <c r="K56" s="203">
        <v>413</v>
      </c>
      <c r="L56" s="203">
        <v>83</v>
      </c>
      <c r="M56" s="203">
        <v>32</v>
      </c>
      <c r="N56" s="203">
        <v>24</v>
      </c>
      <c r="O56" s="203">
        <v>27</v>
      </c>
      <c r="P56" s="203">
        <v>0</v>
      </c>
      <c r="Q56" s="203">
        <v>1</v>
      </c>
      <c r="R56" s="202">
        <v>0</v>
      </c>
      <c r="S56" s="202">
        <v>0</v>
      </c>
      <c r="T56" s="202">
        <v>0</v>
      </c>
      <c r="U56" s="202">
        <v>14</v>
      </c>
      <c r="V56" s="215"/>
      <c r="W56" s="215"/>
      <c r="X56" s="215"/>
      <c r="Y56" s="215"/>
      <c r="Z56" s="215"/>
      <c r="AA56" s="215"/>
      <c r="AB56" s="215"/>
      <c r="AC56" s="215"/>
      <c r="AD56" s="215"/>
      <c r="AE56" s="215"/>
      <c r="AF56" s="215"/>
      <c r="AG56" s="215"/>
      <c r="AH56" s="215"/>
      <c r="AI56" s="215"/>
      <c r="AJ56" s="215"/>
      <c r="AK56" s="215"/>
      <c r="AL56" s="215"/>
      <c r="AM56" s="215"/>
      <c r="AN56" s="30"/>
    </row>
    <row r="57" spans="1:43" ht="15" customHeight="1" thickBot="1" x14ac:dyDescent="0.25">
      <c r="A57" s="178" t="s">
        <v>103</v>
      </c>
      <c r="B57" s="124">
        <v>8005</v>
      </c>
      <c r="C57" s="124">
        <v>7270</v>
      </c>
      <c r="D57" s="124">
        <v>5935</v>
      </c>
      <c r="E57" s="124">
        <v>6381</v>
      </c>
      <c r="F57" s="124">
        <v>7690</v>
      </c>
      <c r="G57" s="124">
        <v>7757</v>
      </c>
      <c r="H57" s="124">
        <v>8034</v>
      </c>
      <c r="I57" s="124">
        <v>9593</v>
      </c>
      <c r="J57" s="124">
        <v>9031</v>
      </c>
      <c r="K57" s="124">
        <v>9673</v>
      </c>
      <c r="L57" s="124">
        <v>8356</v>
      </c>
      <c r="M57" s="124">
        <v>8790</v>
      </c>
      <c r="N57" s="124">
        <v>11110</v>
      </c>
      <c r="O57" s="124">
        <v>11402</v>
      </c>
      <c r="P57" s="124">
        <v>12627</v>
      </c>
      <c r="Q57" s="124">
        <v>13226</v>
      </c>
      <c r="R57" s="124">
        <v>11977</v>
      </c>
      <c r="S57" s="124">
        <v>14093</v>
      </c>
      <c r="T57" s="124">
        <v>11778</v>
      </c>
      <c r="U57" s="124">
        <v>14039</v>
      </c>
      <c r="V57" s="126"/>
      <c r="W57" s="126"/>
      <c r="X57" s="126"/>
      <c r="Y57" s="126"/>
      <c r="Z57" s="126"/>
      <c r="AA57" s="126"/>
      <c r="AB57" s="126"/>
      <c r="AC57" s="126"/>
      <c r="AD57" s="126"/>
      <c r="AE57" s="126"/>
      <c r="AF57" s="126"/>
      <c r="AG57" s="126"/>
      <c r="AH57" s="126"/>
      <c r="AI57" s="126"/>
      <c r="AJ57" s="126"/>
      <c r="AK57" s="126"/>
      <c r="AL57" s="126"/>
      <c r="AM57" s="126"/>
      <c r="AN57" s="30"/>
    </row>
    <row r="58" spans="1:43" ht="15" customHeight="1" thickTop="1" x14ac:dyDescent="0.2">
      <c r="A58" s="205" t="s">
        <v>104</v>
      </c>
      <c r="B58" s="325">
        <v>22760</v>
      </c>
      <c r="C58" s="325">
        <v>22697</v>
      </c>
      <c r="D58" s="325">
        <v>23909</v>
      </c>
      <c r="E58" s="325">
        <v>23002</v>
      </c>
      <c r="F58" s="325">
        <v>18912</v>
      </c>
      <c r="G58" s="325">
        <v>18823</v>
      </c>
      <c r="H58" s="325">
        <v>20974</v>
      </c>
      <c r="I58" s="325">
        <v>20226</v>
      </c>
      <c r="J58" s="325">
        <v>18781</v>
      </c>
      <c r="K58" s="325">
        <v>19515</v>
      </c>
      <c r="L58" s="325">
        <v>13149</v>
      </c>
      <c r="M58" s="325">
        <v>13646</v>
      </c>
      <c r="N58" s="325">
        <v>13371</v>
      </c>
      <c r="O58" s="325">
        <v>14730</v>
      </c>
      <c r="P58" s="325">
        <v>16523</v>
      </c>
      <c r="Q58" s="325">
        <v>16881</v>
      </c>
      <c r="R58" s="325">
        <v>16635</v>
      </c>
      <c r="S58" s="325">
        <v>18403</v>
      </c>
      <c r="T58" s="325">
        <v>15251</v>
      </c>
      <c r="U58" s="325">
        <v>18956</v>
      </c>
      <c r="V58" s="227">
        <v>5.0483304042179267E-2</v>
      </c>
      <c r="W58" s="227">
        <v>1.3437899281843357E-2</v>
      </c>
      <c r="X58" s="227">
        <v>-0.20900079467982768</v>
      </c>
      <c r="Y58" s="227">
        <v>-0.18167985392574559</v>
      </c>
      <c r="Z58" s="227">
        <v>0.10903130287648044</v>
      </c>
      <c r="AA58" s="227">
        <v>7.453647133825636E-2</v>
      </c>
      <c r="AB58" s="227">
        <v>-0.10455802422046345</v>
      </c>
      <c r="AC58" s="227">
        <v>-3.5152773657668335E-2</v>
      </c>
      <c r="AD58" s="227">
        <v>-0.29987753580746501</v>
      </c>
      <c r="AE58" s="227">
        <v>-0.30074301819113503</v>
      </c>
      <c r="AF58" s="227">
        <v>1.6883413187314567E-2</v>
      </c>
      <c r="AG58" s="227">
        <v>7.9437197713615681E-2</v>
      </c>
      <c r="AH58" s="227">
        <v>0.2357340513050632</v>
      </c>
      <c r="AI58" s="227">
        <v>0.14602851323828925</v>
      </c>
      <c r="AJ58" s="227">
        <v>6.7784300671791531E-3</v>
      </c>
      <c r="AK58" s="227">
        <v>9.0136216154374837E-2</v>
      </c>
      <c r="AL58" s="227">
        <v>-8.3198076345055605E-2</v>
      </c>
      <c r="AM58" s="227">
        <v>3.0049448459490202E-2</v>
      </c>
      <c r="AN58" s="30"/>
    </row>
    <row r="59" spans="1:43" ht="15" customHeight="1" x14ac:dyDescent="0.2">
      <c r="A59" s="62" t="s">
        <v>55</v>
      </c>
      <c r="B59" s="232"/>
      <c r="C59" s="232"/>
      <c r="D59" s="232"/>
      <c r="E59" s="232"/>
      <c r="F59" s="232"/>
      <c r="G59" s="232"/>
      <c r="H59" s="232"/>
      <c r="I59" s="232"/>
      <c r="J59" s="232"/>
      <c r="K59" s="232"/>
      <c r="L59" s="232"/>
      <c r="M59" s="232"/>
      <c r="N59" s="232"/>
      <c r="O59" s="232"/>
      <c r="P59" s="232"/>
      <c r="Q59" s="232"/>
      <c r="R59" s="232"/>
      <c r="S59" s="232"/>
      <c r="T59" s="232"/>
      <c r="U59" s="232"/>
    </row>
    <row r="61" spans="1:43" x14ac:dyDescent="0.2">
      <c r="A61" s="15" t="s">
        <v>56</v>
      </c>
    </row>
    <row r="62" spans="1:43" s="25" customFormat="1" ht="25.5" x14ac:dyDescent="0.2">
      <c r="A62" s="210" t="s">
        <v>341</v>
      </c>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row>
  </sheetData>
  <customSheetViews>
    <customSheetView guid="{0879B2E0-1447-4BF4-B278-DFA3BD4BF3E7}" showPageBreaks="1" fitToPage="1" printArea="1" hiddenColumns="1" view="pageBreakPreview" topLeftCell="A28">
      <selection activeCell="AD2" sqref="AD2"/>
      <pageMargins left="0.7" right="0.7" top="0.75" bottom="0.75" header="0.3" footer="0.3"/>
      <pageSetup paperSize="9" scale="56" orientation="landscape" r:id="rId1"/>
    </customSheetView>
    <customSheetView guid="{B24A12A4-9623-4099-956E-0B4C7C8D3F73}" scale="85" showPageBreaks="1" fitToPage="1" printArea="1" view="pageBreakPreview" topLeftCell="A14">
      <selection activeCell="N50" sqref="N50"/>
      <pageMargins left="0.7" right="0.7" top="0.75" bottom="0.75" header="0.3" footer="0.3"/>
      <pageSetup paperSize="9" scale="57" orientation="landscape" r:id="rId2"/>
    </customSheetView>
    <customSheetView guid="{93BA635E-1664-4099-8295-6B100E16362A}" scale="85" showPageBreaks="1" fitToPage="1" printArea="1" view="pageBreakPreview" topLeftCell="A14">
      <selection activeCell="N50" sqref="N50"/>
      <pageMargins left="0.7" right="0.7" top="0.75" bottom="0.75" header="0.3" footer="0.3"/>
      <pageSetup paperSize="9" scale="57" orientation="landscape" r:id="rId3"/>
    </customSheetView>
  </customSheetViews>
  <hyperlinks>
    <hyperlink ref="AN2" location="MENU!A1" display="MENU"/>
  </hyperlinks>
  <pageMargins left="0.7" right="0.7" top="0.75" bottom="0.75" header="0.3" footer="0.3"/>
  <pageSetup paperSize="9" scale="50" orientation="landscape" r:id="rId4"/>
  <customProperties>
    <customPr name="_pios_id" r:id="rId5"/>
    <customPr name="CofWorksheetType" r:id="rId6"/>
    <customPr name="EpmWorksheetKeyString_GUID" r:id="rId7"/>
  </customProperties>
  <drawing r:id="rId8"/>
  <legacyDrawing r:id="rId9"/>
  <controls>
    <mc:AlternateContent xmlns:mc="http://schemas.openxmlformats.org/markup-compatibility/2006">
      <mc:Choice Requires="x14">
        <control shapeId="223233" r:id="rId10" name="FPMExcelClientSheetOptionstb1">
          <controlPr defaultSize="0" autoLine="0" r:id="rId11">
            <anchor moveWithCells="1" sizeWithCells="1">
              <from>
                <xdr:col>0</xdr:col>
                <xdr:colOff>0</xdr:colOff>
                <xdr:row>0</xdr:row>
                <xdr:rowOff>0</xdr:rowOff>
              </from>
              <to>
                <xdr:col>0</xdr:col>
                <xdr:colOff>0</xdr:colOff>
                <xdr:row>0</xdr:row>
                <xdr:rowOff>0</xdr:rowOff>
              </to>
            </anchor>
          </controlPr>
        </control>
      </mc:Choice>
      <mc:Fallback>
        <control shapeId="223233" r:id="rId10" name="FPMExcelClientSheetOptions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2.6.100.78647</Revision>
</Application>
</file>

<file path=customXml/itemProps1.xml><?xml version="1.0" encoding="utf-8"?>
<ds:datastoreItem xmlns:ds="http://schemas.openxmlformats.org/officeDocument/2006/customXml" ds:itemID="{D4E3E52E-818A-44CB-ACF4-5B663EE783F2}">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17</vt:i4>
      </vt:variant>
    </vt:vector>
  </HeadingPairs>
  <TitlesOfParts>
    <vt:vector size="35" baseType="lpstr">
      <vt:lpstr>MENU</vt:lpstr>
      <vt:lpstr>FINANCIAL HIGHLIGHTS</vt:lpstr>
      <vt:lpstr>SELECTED FINANCIAL RATIOS</vt:lpstr>
      <vt:lpstr>INCOME STATEMENT</vt:lpstr>
      <vt:lpstr>REVENUE BREAKDOWN</vt:lpstr>
      <vt:lpstr>EBITDA CALCULATION</vt:lpstr>
      <vt:lpstr>COST BREAKDOWN</vt:lpstr>
      <vt:lpstr>COST BREAKDOWN BY REGION</vt:lpstr>
      <vt:lpstr>BALANCE </vt:lpstr>
      <vt:lpstr>CASH FLOW STATEMENT</vt:lpstr>
      <vt:lpstr>WORKING CAPITAL</vt:lpstr>
      <vt:lpstr>CAPEX BREAKDOWN</vt:lpstr>
      <vt:lpstr>DEBT AND LIQUIDITY </vt:lpstr>
      <vt:lpstr>METAL SALES&amp;PRICES</vt:lpstr>
      <vt:lpstr>PRODUCTION DATA</vt:lpstr>
      <vt:lpstr>ORE OUTRUT</vt:lpstr>
      <vt:lpstr>RECOVERY RATES</vt:lpstr>
      <vt:lpstr>MINERALS RESERVES AND RESOURCES</vt:lpstr>
      <vt:lpstr>'BALANCE '!Область_печати</vt:lpstr>
      <vt:lpstr>'CAPEX BREAKDOWN'!Область_печати</vt:lpstr>
      <vt:lpstr>'CASH FLOW STATEMENT'!Область_печати</vt:lpstr>
      <vt:lpstr>'COST BREAKDOWN'!Область_печати</vt:lpstr>
      <vt:lpstr>'COST BREAKDOWN BY REGION'!Область_печати</vt:lpstr>
      <vt:lpstr>'DEBT AND LIQUIDITY '!Область_печати</vt:lpstr>
      <vt:lpstr>'EBITDA CALCULATION'!Область_печати</vt:lpstr>
      <vt:lpstr>'FINANCIAL HIGHLIGHTS'!Область_печати</vt:lpstr>
      <vt:lpstr>'INCOME STATEMENT'!Область_печати</vt:lpstr>
      <vt:lpstr>'METAL SALES&amp;PRICES'!Область_печати</vt:lpstr>
      <vt:lpstr>'MINERALS RESERVES AND RESOURCES'!Область_печати</vt:lpstr>
      <vt:lpstr>'ORE OUTRUT'!Область_печати</vt:lpstr>
      <vt:lpstr>'PRODUCTION DATA'!Область_печати</vt:lpstr>
      <vt:lpstr>'RECOVERY RATES'!Область_печати</vt:lpstr>
      <vt:lpstr>'REVENUE BREAKDOWN'!Область_печати</vt:lpstr>
      <vt:lpstr>'SELECTED FINANCIAL RATIOS'!Область_печати</vt:lpstr>
      <vt:lpstr>'WORKING CAPITAL'!Область_печати</vt:lpstr>
    </vt:vector>
  </TitlesOfParts>
  <Company>Norilsk Nickel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DervoedovIA</dc:creator>
  <cp:lastModifiedBy>Алексеенко Валерия Валерьевна</cp:lastModifiedBy>
  <cp:lastPrinted>2019-08-19T13:18:29Z</cp:lastPrinted>
  <dcterms:created xsi:type="dcterms:W3CDTF">2015-09-07T06:58:26Z</dcterms:created>
  <dcterms:modified xsi:type="dcterms:W3CDTF">2019-10-08T07:42:24Z</dcterms:modified>
</cp:coreProperties>
</file>