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стр.1 " sheetId="1" r:id="rId1"/>
    <sheet name="Cognos_Office_Connection_Cache" sheetId="2" state="veryHidden" r:id="rId2"/>
    <sheet name="стр.2" sheetId="3" r:id="rId3"/>
    <sheet name="Лист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ID" localSheetId="1" hidden="1">"585495f5-7c4d-414d-af2d-483592c3f0ae"</definedName>
    <definedName name="ID" localSheetId="3" hidden="1">"ad350250-0ba0-4ccc-b13a-c2da7990276d"</definedName>
    <definedName name="ID" localSheetId="0" hidden="1">"6156a95a-9b86-48b7-bd59-05c3e913a207"</definedName>
    <definedName name="ID" localSheetId="2" hidden="1">"b522eb95-1c1c-4a77-b3eb-3591587d147f"</definedName>
    <definedName name="_xlnm.Print_Area" localSheetId="0">'стр.1 '!$A$1:$DC$59</definedName>
    <definedName name="_xlnm.Print_Area" localSheetId="2">'стр.2'!$A$1:$FK$30</definedName>
  </definedNames>
  <calcPr fullCalcOnLoad="1"/>
</workbook>
</file>

<file path=xl/comments3.xml><?xml version="1.0" encoding="utf-8"?>
<comments xmlns="http://schemas.openxmlformats.org/spreadsheetml/2006/main">
  <authors>
    <author>Проскурина Елена Сергеевна</author>
  </authors>
  <commentList>
    <comment ref="CA11" authorId="0">
      <text>
        <r>
          <rPr>
            <b/>
            <sz val="8"/>
            <rFont val="Tahoma"/>
            <family val="2"/>
          </rPr>
          <t>Проскурина Елена Сергеевна:</t>
        </r>
        <r>
          <rPr>
            <sz val="8"/>
            <rFont val="Tahoma"/>
            <family val="2"/>
          </rPr>
          <t xml:space="preserve">
678,17 - себес-ть использования причала в сутки</t>
        </r>
      </text>
    </comment>
  </commentList>
</comments>
</file>

<file path=xl/sharedStrings.xml><?xml version="1.0" encoding="utf-8"?>
<sst xmlns="http://schemas.openxmlformats.org/spreadsheetml/2006/main" count="153" uniqueCount="103">
  <si>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</si>
  <si>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</si>
  <si>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</si>
  <si>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</si>
  <si>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</si>
  <si>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</si>
  <si>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</si>
  <si>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</si>
  <si>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</si>
  <si>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</si>
  <si>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</si>
  <si>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</si>
  <si>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</si>
  <si>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</si>
  <si>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</si>
  <si>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</si>
  <si>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</si>
  <si>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</si>
  <si>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</si>
  <si>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</si>
  <si>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</si>
  <si>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</si>
  <si>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</si>
  <si>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</si>
  <si>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</si>
  <si>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</si>
  <si>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</si>
  <si>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</si>
  <si>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</si>
  <si>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</si>
  <si>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</si>
  <si>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</si>
  <si>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</si>
  <si>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</si>
  <si>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</si>
  <si>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</si>
  <si>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</si>
  <si>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</si>
  <si>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</si>
  <si>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</si>
  <si>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</si>
  <si>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</si>
  <si>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</si>
  <si>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</si>
  <si>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</si>
  <si>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</si>
  <si>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</si>
  <si>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</si>
  <si>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</si>
  <si>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</si>
  <si>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</si>
  <si>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</si>
  <si>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</si>
  <si>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</si>
  <si>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</si>
  <si>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</si>
  <si>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</si>
  <si>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</si>
  <si>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</si>
  <si>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</si>
  <si>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</si>
  <si>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</si>
  <si>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</si>
  <si>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</si>
  <si>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</si>
  <si>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</si>
  <si>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</si>
  <si>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</si>
  <si>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</si>
  <si>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</si>
  <si>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</si>
  <si>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</si>
  <si>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</si>
  <si>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</si>
  <si>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</si>
  <si>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</si>
  <si>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</si>
  <si>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</si>
  <si>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</si>
  <si>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</si>
  <si>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</si>
  <si>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</si>
  <si>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</si>
  <si>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</si>
  <si>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</si>
  <si>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</si>
  <si>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</si>
  <si>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</si>
  <si>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</si>
  <si>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</si>
  <si>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</si>
  <si>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</si>
  <si>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</si>
  <si>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</si>
  <si>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</si>
  <si>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</si>
  <si>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</si>
  <si>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</si>
  <si>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Заполярный транспортный филиал</t>
  </si>
  <si>
    <t>029</t>
  </si>
  <si>
    <t>1.9. Услуги по обеспечению экологической безопасности в порту</t>
  </si>
  <si>
    <t>на</t>
  </si>
  <si>
    <t>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</si>
</sst>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</numFmts>
  <fonts count="5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1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10" fillId="20" borderId="1">
      <alignment horizontal="center" vertical="center"/>
      <protection/>
    </xf>
    <xf numFmtId="0" fontId="11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1" fillId="23" borderId="1">
      <alignment/>
      <protection/>
    </xf>
    <xf numFmtId="0" fontId="11" fillId="0" borderId="1">
      <alignment horizontal="right" vertical="center"/>
      <protection/>
    </xf>
    <xf numFmtId="0" fontId="11" fillId="24" borderId="1">
      <alignment horizontal="right" vertical="center"/>
      <protection/>
    </xf>
    <xf numFmtId="0" fontId="11" fillId="0" borderId="1">
      <alignment horizontal="center" vertical="center"/>
      <protection/>
    </xf>
    <xf numFmtId="0" fontId="10" fillId="25" borderId="1">
      <alignment/>
      <protection/>
    </xf>
    <xf numFmtId="0" fontId="10" fillId="26" borderId="1">
      <alignment/>
      <protection/>
    </xf>
    <xf numFmtId="0" fontId="10" fillId="0" borderId="1">
      <alignment horizontal="center" vertical="center" wrapText="1"/>
      <protection/>
    </xf>
    <xf numFmtId="0" fontId="12" fillId="20" borderId="1">
      <alignment horizontal="left" vertical="center" indent="1"/>
      <protection/>
    </xf>
    <xf numFmtId="0" fontId="38" fillId="0" borderId="1">
      <alignment/>
      <protection/>
    </xf>
    <xf numFmtId="0" fontId="0" fillId="20" borderId="1">
      <alignment horizontal="left" vertical="center"/>
      <protection/>
    </xf>
    <xf numFmtId="0" fontId="10" fillId="20" borderId="1">
      <alignment horizontal="center" vertical="center"/>
      <protection/>
    </xf>
    <xf numFmtId="0" fontId="9" fillId="25" borderId="1">
      <alignment horizontal="center" vertical="center"/>
      <protection/>
    </xf>
    <xf numFmtId="0" fontId="9" fillId="26" borderId="1">
      <alignment horizontal="center" vertical="center"/>
      <protection/>
    </xf>
    <xf numFmtId="0" fontId="9" fillId="25" borderId="1">
      <alignment horizontal="left" vertical="center"/>
      <protection/>
    </xf>
    <xf numFmtId="0" fontId="9" fillId="26" borderId="1">
      <alignment horizontal="left" vertical="center"/>
      <protection/>
    </xf>
    <xf numFmtId="0" fontId="39" fillId="0" borderId="1">
      <alignment/>
      <protection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55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56" fillId="0" borderId="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 wrapText="1" indent="1"/>
    </xf>
    <xf numFmtId="0" fontId="8" fillId="0" borderId="20" xfId="0" applyFont="1" applyBorder="1" applyAlignment="1">
      <alignment horizontal="left" wrapText="1" indent="1"/>
    </xf>
    <xf numFmtId="0" fontId="8" fillId="0" borderId="19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 indent="2"/>
    </xf>
    <xf numFmtId="3" fontId="7" fillId="0" borderId="21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C\Plan\2015\&#1056;&#1072;&#1089;&#1093;&#1086;&#1076;&#1099;%20&#1047;&#1058;&#1060;%20&#1085;&#1072;%202015%20&#1075;\&#1058;&#1072;&#1088;&#1080;&#1092;&#1099;%20&#1055;&#1056;&#1056;%20&#1080;%20&#1093;&#1088;&#1072;&#1085;.%202015\&#1057;&#1084;&#1077;&#1090;&#1072;%20&#1047;&#1058;&#1060;%20&#1087;&#1086;%20&#1074;&#1080;&#1076;&#1072;&#1084;%20&#1088;&#1072;&#1073;&#1086;&#109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C\Plan\2015\&#1060;&#1057;&#1058;\&#1044;&#1080;&#1085;&#1072;&#1084;&#1080;&#1082;&#1072;%20&#1060;&#1069;&#1055;%20&#1047;&#1058;&#1060;%202012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C\Plan\2016\&#1056;&#1072;&#1089;&#1093;&#1086;&#1076;&#1099;%20&#1047;&#1058;&#1060;%20&#1085;&#1072;%202016_2018%20&#1075;\&#1058;&#1072;&#1088;&#1080;&#1092;&#1099;%20&#1055;&#1056;&#1056;%20&#1080;%20&#1093;&#1088;&#1072;&#1085;.%202016\&#1057;&#1084;&#1077;&#1090;&#1072;%20&#1047;&#1058;&#1060;%20&#1087;&#1086;%20&#1074;&#1080;&#1076;&#1072;&#1084;%20&#1088;&#1072;&#1073;&#1086;&#109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C\Plan\2016\&#1056;&#1072;&#1089;&#1093;&#1086;&#1076;&#1099;%20&#1047;&#1058;&#1060;%20&#1085;&#1072;%202016_2018%20&#1075;\&#1058;&#1072;&#1088;&#1080;&#1092;&#1099;%20&#1055;&#1056;&#1056;%20&#1080;%20&#1093;&#1088;&#1072;&#1085;.%202016\&#1059;&#1089;&#1083;&#1091;&#1075;&#1080;%20&#1087;&#1086;&#1088;&#1090;&#1086;&#1074;&#1086;&#1075;&#1086;%20&#1092;&#1083;&#1086;&#1090;&#1072;%202016%20&#1075;.%20-%20&#1082;&#1086;&#1087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C\Plan\2016\&#1044;&#1086;&#1093;&#1086;&#1076;&#1099;\&#1044;&#1086;&#1093;&#1086;&#1076;&#1099;%20&#1047;&#1058;&#1060;%202016%20-%202018%20%20&#1040;&#1050;&#105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C\Plan\2016\&#1044;&#1086;&#1093;&#1086;&#1076;&#1099;\&#1043;&#1088;&#1091;&#1079;&#1086;&#1086;&#1073;&#1086;&#1088;&#1086;&#1090;\&#1043;&#1041;%202016\21092015\&#1042;&#1086;&#1076;&#1085;&#1099;&#1081;%20&#1075;&#1088;&#1091;&#1079;&#1086;&#1086;&#1073;&#1086;&#1088;&#1086;&#1090;%20(&#1073;&#1102;&#1076;&#1078;&#1077;&#1090;)%20&#1085;&#1072;%202016%20&#1075;&#1086;&#1076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мета короткая"/>
      <sheetName val="Лист1"/>
    </sheetNames>
    <sheetDataSet>
      <sheetData sheetId="1">
        <row r="5">
          <cell r="L5">
            <v>83560.4</v>
          </cell>
          <cell r="M5">
            <v>7402.379999999999</v>
          </cell>
        </row>
        <row r="27">
          <cell r="L27">
            <v>14600</v>
          </cell>
          <cell r="M27">
            <v>5550</v>
          </cell>
        </row>
        <row r="29">
          <cell r="L29">
            <v>4380</v>
          </cell>
          <cell r="M29">
            <v>1631.55</v>
          </cell>
        </row>
        <row r="30">
          <cell r="L30">
            <v>133707</v>
          </cell>
          <cell r="M30">
            <v>1039</v>
          </cell>
        </row>
        <row r="70">
          <cell r="L70">
            <v>289538.58370429784</v>
          </cell>
          <cell r="M70">
            <v>19485.24543642854</v>
          </cell>
          <cell r="W70">
            <v>3323779.7668891246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ФЭП (2)"/>
      <sheetName val="себестоимость ПРР"/>
      <sheetName val="ФЭП"/>
    </sheetNames>
    <sheetDataSet>
      <sheetData sheetId="3">
        <row r="12">
          <cell r="E12">
            <v>366.708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мета короткая"/>
      <sheetName val="Лист1"/>
    </sheetNames>
    <sheetDataSet>
      <sheetData sheetId="1">
        <row r="5">
          <cell r="H5">
            <v>455046.6</v>
          </cell>
          <cell r="I5">
            <v>73408.9</v>
          </cell>
        </row>
        <row r="27">
          <cell r="H27">
            <v>461407.9</v>
          </cell>
          <cell r="I27">
            <v>67816.6</v>
          </cell>
        </row>
        <row r="29">
          <cell r="H29">
            <v>132124.5</v>
          </cell>
          <cell r="I29">
            <v>19419.2</v>
          </cell>
        </row>
        <row r="30">
          <cell r="H30">
            <v>317994.4</v>
          </cell>
          <cell r="I30">
            <v>14843.1</v>
          </cell>
        </row>
        <row r="77">
          <cell r="H77">
            <v>2643985.2095963107</v>
          </cell>
          <cell r="I77">
            <v>432086.4040859988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плата РСС"/>
      <sheetName val="Зплата рядовой пс"/>
      <sheetName val="эксплуат судов "/>
      <sheetName val="рацион 15"/>
      <sheetName val="Cognos_Office_Connection_Cache"/>
      <sheetName val="колпит"/>
      <sheetName val="-Амортизация"/>
      <sheetName val="топливо"/>
      <sheetName val="транспортные"/>
      <sheetName val="РФ"/>
      <sheetName val="эл эн"/>
      <sheetName val="услуги по судам"/>
      <sheetName val="Суда"/>
      <sheetName val="Смета"/>
      <sheetName val="Таблица по тарифам"/>
      <sheetName val="Флора подслан. "/>
      <sheetName val="Флора хозфек."/>
      <sheetName val="Напор. канализ."/>
      <sheetName val="Норильскснаб"/>
      <sheetName val="параметры"/>
      <sheetName val="Отстой  судов"/>
      <sheetName val="Котельная"/>
      <sheetName val="ГСМ для котельной"/>
    </sheetNames>
    <sheetDataSet>
      <sheetData sheetId="15">
        <row r="14">
          <cell r="AD14">
            <v>1026994.7086543873</v>
          </cell>
        </row>
        <row r="15">
          <cell r="AD15">
            <v>294080.0138835925</v>
          </cell>
        </row>
        <row r="16">
          <cell r="AD16">
            <v>131420.31574916877</v>
          </cell>
        </row>
        <row r="17">
          <cell r="AD17">
            <v>0</v>
          </cell>
        </row>
        <row r="18">
          <cell r="AD18">
            <v>10114.9884</v>
          </cell>
        </row>
        <row r="19">
          <cell r="AD1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Вклад ПОЯСНЕНИЯ"/>
      <sheetName val="Вклад 2016-2018 печать"/>
      <sheetName val="для директора"/>
      <sheetName val="МОБ 90 счет"/>
      <sheetName val="ППУ  Cognos"/>
      <sheetName val="ППУ  Cognos АКП"/>
      <sheetName val="Валовая прибыль  (краткая)"/>
      <sheetName val="Для директора ФАКТ"/>
      <sheetName val="Для директора ОжИД"/>
      <sheetName val="Свод_доходы"/>
      <sheetName val="Свод по исп. аренде конт-в"/>
      <sheetName val="для презентации"/>
      <sheetName val="Анализ выручки"/>
    </sheetNames>
    <sheetDataSet>
      <sheetData sheetId="4">
        <row r="303">
          <cell r="BQ303">
            <v>4</v>
          </cell>
        </row>
        <row r="304">
          <cell r="BQ304">
            <v>406</v>
          </cell>
        </row>
        <row r="305">
          <cell r="BQ305">
            <v>2195</v>
          </cell>
        </row>
        <row r="703">
          <cell r="EF703">
            <v>441603.1762799999</v>
          </cell>
        </row>
        <row r="705">
          <cell r="EF705">
            <v>336.1611008000001</v>
          </cell>
        </row>
      </sheetData>
      <sheetData sheetId="5">
        <row r="8">
          <cell r="BS8">
            <v>516658.91936080006</v>
          </cell>
        </row>
      </sheetData>
      <sheetData sheetId="6">
        <row r="19">
          <cell r="BS19">
            <v>500</v>
          </cell>
        </row>
        <row r="23">
          <cell r="BS23">
            <v>129.04</v>
          </cell>
        </row>
        <row r="25">
          <cell r="BS25">
            <v>1002529.1285457916</v>
          </cell>
        </row>
        <row r="26">
          <cell r="BS26">
            <v>921309</v>
          </cell>
        </row>
        <row r="27">
          <cell r="BS27">
            <v>68751.90741</v>
          </cell>
        </row>
        <row r="32">
          <cell r="BS32">
            <v>24194.679</v>
          </cell>
        </row>
        <row r="33">
          <cell r="BS33">
            <v>5030.1</v>
          </cell>
        </row>
        <row r="34">
          <cell r="BS34">
            <v>6117</v>
          </cell>
        </row>
        <row r="35">
          <cell r="BS35">
            <v>0</v>
          </cell>
        </row>
        <row r="36">
          <cell r="BS36">
            <v>96848.429973</v>
          </cell>
        </row>
      </sheetData>
      <sheetData sheetId="10">
        <row r="70">
          <cell r="BH70">
            <v>636.935</v>
          </cell>
        </row>
        <row r="76">
          <cell r="BH76">
            <v>1015.333</v>
          </cell>
        </row>
        <row r="79">
          <cell r="BH79">
            <v>42.18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год"/>
      <sheetName val="1 квартал"/>
      <sheetName val="2 квартал"/>
      <sheetName val="3 квартал"/>
      <sheetName val="4 квартал"/>
      <sheetName val="Лист1"/>
      <sheetName val="Лист2"/>
    </sheetNames>
    <sheetDataSet>
      <sheetData sheetId="1">
        <row r="347">
          <cell r="G347">
            <v>408713.59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D58"/>
  <sheetViews>
    <sheetView tabSelected="1" view="pageBreakPreview" zoomScale="75" zoomScaleNormal="70" zoomScaleSheetLayoutView="75" zoomScalePageLayoutView="0" workbookViewId="0" topLeftCell="A1">
      <pane ySplit="13" topLeftCell="A23" activePane="bottomLeft" state="frozen"/>
      <selection pane="topLeft" activeCell="CN46" sqref="CN46:DC46"/>
      <selection pane="bottomLeft" activeCell="CN47" sqref="CN47:DC47"/>
    </sheetView>
  </sheetViews>
  <sheetFormatPr defaultColWidth="0.875" defaultRowHeight="12.75"/>
  <cols>
    <col min="1" max="105" width="0.875" style="3" customWidth="1"/>
    <col min="106" max="106" width="2.75390625" style="3" customWidth="1"/>
    <col min="107" max="107" width="0.875" style="3" customWidth="1"/>
    <col min="108" max="108" width="9.25390625" style="3" customWidth="1"/>
    <col min="109" max="16384" width="0.875" style="3" customWidth="1"/>
  </cols>
  <sheetData>
    <row r="1" ht="15">
      <c r="DC1" s="4" t="s">
        <v>0</v>
      </c>
    </row>
    <row r="2" ht="12" customHeight="1"/>
    <row r="3" spans="1:107" s="6" customFormat="1" ht="15" customHeight="1">
      <c r="A3" s="26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</row>
    <row r="4" spans="1:107" s="6" customFormat="1" ht="1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</row>
    <row r="5" spans="1:107" s="6" customFormat="1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</row>
    <row r="6" spans="1:107" s="6" customFormat="1" ht="15" customHeight="1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</row>
    <row r="7" spans="1:107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101</v>
      </c>
      <c r="AX7" s="27" t="s">
        <v>102</v>
      </c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28" t="s">
        <v>98</v>
      </c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</row>
    <row r="10" spans="1:107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29" t="s">
        <v>8</v>
      </c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</row>
    <row r="11" spans="1:107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s="6" customFormat="1" ht="15" customHeight="1">
      <c r="A12" s="30" t="s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</row>
    <row r="13" ht="9.75" customHeight="1"/>
    <row r="14" spans="1:107" s="13" customFormat="1" ht="12.75">
      <c r="A14" s="31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3"/>
      <c r="BJ14" s="31" t="s">
        <v>16</v>
      </c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37" t="s">
        <v>17</v>
      </c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9"/>
    </row>
    <row r="15" spans="1:107" s="13" customFormat="1" ht="12.7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6"/>
      <c r="BJ15" s="34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6"/>
      <c r="BW15" s="40">
        <v>1</v>
      </c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</row>
    <row r="16" spans="1:107" s="13" customFormat="1" ht="12.75">
      <c r="A16" s="14"/>
      <c r="B16" s="41" t="s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3" t="s">
        <v>18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4">
        <f>BW17+BW18</f>
        <v>408.71359</v>
      </c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</row>
    <row r="17" spans="1:107" s="13" customFormat="1" ht="12.75">
      <c r="A17" s="14"/>
      <c r="B17" s="45" t="s">
        <v>11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47" t="s">
        <v>19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8">
        <f>'[6]год'!$G$347/1000</f>
        <v>408.71359</v>
      </c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s="13" customFormat="1" ht="12.75">
      <c r="A18" s="14"/>
      <c r="B18" s="45" t="s">
        <v>12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6"/>
      <c r="BJ18" s="47" t="s">
        <v>20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s="13" customFormat="1" ht="12.75">
      <c r="A19" s="14"/>
      <c r="B19" s="41" t="s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  <c r="BJ19" s="43" t="s">
        <v>21</v>
      </c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s="13" customFormat="1" ht="12.75">
      <c r="A20" s="14"/>
      <c r="B20" s="41" t="s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  <c r="BJ20" s="43" t="s">
        <v>22</v>
      </c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ht="12" customHeight="1"/>
    <row r="22" spans="1:107" s="7" customFormat="1" ht="15" customHeight="1">
      <c r="A22" s="30" t="s">
        <v>95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</row>
    <row r="23" s="13" customFormat="1" ht="12.75" customHeight="1">
      <c r="DC23" s="23" t="s">
        <v>24</v>
      </c>
    </row>
    <row r="24" spans="1:107" s="2" customFormat="1" ht="12.75" customHeight="1">
      <c r="A24" s="49" t="s">
        <v>23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1"/>
      <c r="BJ24" s="55" t="s">
        <v>16</v>
      </c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7"/>
      <c r="BW24" s="61" t="s">
        <v>2</v>
      </c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 t="s">
        <v>3</v>
      </c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</row>
    <row r="25" spans="1:107" s="2" customFormat="1" ht="12.7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4"/>
      <c r="BJ25" s="58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62">
        <v>1</v>
      </c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>
        <v>2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</row>
    <row r="26" spans="1:107" s="17" customFormat="1" ht="12.75">
      <c r="A26" s="37" t="s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9"/>
      <c r="BJ26" s="43" t="s">
        <v>26</v>
      </c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63">
        <f>SUM(BW27:CM47)</f>
        <v>443633.78538079985</v>
      </c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>
        <f>CN27+CN28+CN31+CN47</f>
        <v>316699.8900243399</v>
      </c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</row>
    <row r="27" spans="1:107" s="13" customFormat="1" ht="12.75">
      <c r="A27" s="14"/>
      <c r="B27" s="64" t="s">
        <v>51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5"/>
      <c r="BJ27" s="47" t="s">
        <v>27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66">
        <f>'[5]МОБ 90 счет'!$EF$703</f>
        <v>441603.1762799999</v>
      </c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7">
        <v>313435.8306784568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</row>
    <row r="28" spans="1:107" s="13" customFormat="1" ht="12.75">
      <c r="A28" s="14"/>
      <c r="B28" s="64" t="s">
        <v>52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5"/>
      <c r="BJ28" s="47" t="s">
        <v>28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66">
        <f>'[5]МОБ 90 счет'!$EF$705</f>
        <v>336.1611008000001</v>
      </c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7">
        <v>222.46728920531584</v>
      </c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</row>
    <row r="29" spans="1:107" s="13" customFormat="1" ht="25.5" customHeight="1">
      <c r="A29" s="14"/>
      <c r="B29" s="64" t="s">
        <v>53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5"/>
      <c r="BJ29" s="47" t="s">
        <v>29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</row>
    <row r="30" spans="1:107" s="13" customFormat="1" ht="12.75">
      <c r="A30" s="14"/>
      <c r="B30" s="64" t="s">
        <v>54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5"/>
      <c r="BJ30" s="47" t="s">
        <v>30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</row>
    <row r="31" spans="1:107" s="13" customFormat="1" ht="12.75">
      <c r="A31" s="14"/>
      <c r="B31" s="64" t="s">
        <v>55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5"/>
      <c r="BJ31" s="47" t="s">
        <v>31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66">
        <f>'[5]Свод_доходы'!$BH$70</f>
        <v>636.935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9">
        <v>452.07612068125525</v>
      </c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1"/>
    </row>
    <row r="32" spans="1:107" s="13" customFormat="1" ht="12.75">
      <c r="A32" s="14"/>
      <c r="B32" s="64" t="s">
        <v>56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5"/>
      <c r="BJ32" s="47" t="s">
        <v>32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</row>
    <row r="33" spans="1:107" s="13" customFormat="1" ht="12.75">
      <c r="A33" s="14"/>
      <c r="B33" s="72" t="s">
        <v>57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3"/>
      <c r="BJ33" s="47" t="s">
        <v>34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</row>
    <row r="34" spans="1:107" s="13" customFormat="1" ht="12.75">
      <c r="A34" s="14"/>
      <c r="B34" s="72" t="s">
        <v>58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3"/>
      <c r="BJ34" s="47" t="s">
        <v>35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</row>
    <row r="35" spans="1:107" s="13" customFormat="1" ht="12.75">
      <c r="A35" s="14"/>
      <c r="B35" s="72" t="s">
        <v>59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3"/>
      <c r="BJ35" s="47" t="s">
        <v>36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</row>
    <row r="36" spans="1:107" s="13" customFormat="1" ht="12.75">
      <c r="A36" s="14"/>
      <c r="B36" s="74" t="s">
        <v>96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5"/>
      <c r="BJ36" s="47" t="s">
        <v>37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</row>
    <row r="37" spans="1:107" s="13" customFormat="1" ht="12.75">
      <c r="A37" s="14"/>
      <c r="B37" s="74" t="s">
        <v>97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5"/>
      <c r="BJ37" s="47" t="s">
        <v>38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</row>
    <row r="38" spans="1:107" s="13" customFormat="1" ht="12.75">
      <c r="A38" s="14"/>
      <c r="B38" s="72" t="s">
        <v>60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3"/>
      <c r="BJ38" s="47" t="s">
        <v>39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</row>
    <row r="39" spans="1:107" s="13" customFormat="1" ht="12.75">
      <c r="A39" s="14"/>
      <c r="B39" s="72" t="s">
        <v>61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3"/>
      <c r="BJ39" s="47" t="s">
        <v>40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</row>
    <row r="40" spans="1:107" s="13" customFormat="1" ht="12.75">
      <c r="A40" s="14"/>
      <c r="B40" s="74" t="s">
        <v>62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5"/>
      <c r="BJ40" s="47" t="s">
        <v>42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</row>
    <row r="41" spans="1:107" s="13" customFormat="1" ht="12.75">
      <c r="A41" s="14"/>
      <c r="B41" s="72" t="s">
        <v>63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3"/>
      <c r="BJ41" s="47" t="s">
        <v>41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</row>
    <row r="42" spans="1:107" s="13" customFormat="1" ht="12.75">
      <c r="A42" s="14"/>
      <c r="B42" s="74" t="s">
        <v>64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5"/>
      <c r="BJ42" s="47" t="s">
        <v>43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</row>
    <row r="43" spans="1:107" s="13" customFormat="1" ht="12.75">
      <c r="A43" s="14"/>
      <c r="B43" s="74" t="s">
        <v>65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5"/>
      <c r="BJ43" s="47" t="s">
        <v>44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</row>
    <row r="44" spans="1:107" s="13" customFormat="1" ht="12.75">
      <c r="A44" s="14"/>
      <c r="B44" s="72" t="s">
        <v>66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3"/>
      <c r="BJ44" s="47" t="s">
        <v>45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</row>
    <row r="45" spans="1:107" s="13" customFormat="1" ht="12.75">
      <c r="A45" s="14"/>
      <c r="B45" s="64" t="s">
        <v>67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5"/>
      <c r="BJ45" s="47" t="s">
        <v>33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</row>
    <row r="46" spans="1:107" s="13" customFormat="1" ht="12.75">
      <c r="A46" s="14"/>
      <c r="B46" s="64" t="s">
        <v>68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5"/>
      <c r="BJ46" s="47" t="s">
        <v>46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</row>
    <row r="47" spans="1:107" s="13" customFormat="1" ht="24" customHeight="1">
      <c r="A47" s="14"/>
      <c r="B47" s="64" t="s">
        <v>100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5"/>
      <c r="BJ47" s="47" t="s">
        <v>99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66">
        <f>'[5]Свод_доходы'!$BH$76+'[5]Свод_доходы'!$BH$79</f>
        <v>1057.513</v>
      </c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7">
        <v>2589.5159359965614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</row>
    <row r="48" spans="1:108" s="17" customFormat="1" ht="12.75">
      <c r="A48" s="15"/>
      <c r="B48" s="77" t="s">
        <v>69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8"/>
      <c r="BJ48" s="43" t="s">
        <v>47</v>
      </c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63">
        <f>'[5]ППУ  Cognos'!$BS$8</f>
        <v>516658.91936080006</v>
      </c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>
        <f>'[2]ФЭП'!$E$12*1000</f>
        <v>366708</v>
      </c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25">
        <f>CN48/BW48</f>
        <v>0.70976806217472</v>
      </c>
    </row>
    <row r="49" spans="1:108" s="13" customFormat="1" ht="27.75" customHeight="1" thickBot="1">
      <c r="A49" s="20"/>
      <c r="B49" s="79" t="s">
        <v>70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80"/>
      <c r="BJ49" s="81" t="s">
        <v>48</v>
      </c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2">
        <f>'[5]ППУ  Cognos АКП'!$BS$25+'[5]ППУ  Cognos АКП'!$BS$35-'[5]ППУ  Cognos АКП'!$BS$26-'[5]ППУ  Cognos АКП'!$BS$27</f>
        <v>12468.22113579161</v>
      </c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>
        <f>'[5]ППУ  Cognos АКП'!$BS$19+'[5]ППУ  Cognos АКП'!$BS$32+'[5]ППУ  Cognos АКП'!$BS$33+'[5]ППУ  Cognos АКП'!$BS$34+'[5]ППУ  Cognos АКП'!$BS$36+'[5]ППУ  Cognos АКП'!$BS$23-'[5]ППУ  Cognos АКП'!$BS$32</f>
        <v>108624.569973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24"/>
    </row>
    <row r="50" spans="1:107" s="18" customFormat="1" ht="13.5" customHeight="1" thickBot="1">
      <c r="A50" s="21"/>
      <c r="B50" s="84" t="s">
        <v>71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5"/>
      <c r="BJ50" s="86" t="s">
        <v>49</v>
      </c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7">
        <f>BW48+BW49</f>
        <v>529127.1404965917</v>
      </c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>
        <f>CN48+CN49</f>
        <v>475332.569973</v>
      </c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8"/>
    </row>
    <row r="51" spans="1:107" s="17" customFormat="1" ht="13.5" customHeight="1">
      <c r="A51" s="22"/>
      <c r="B51" s="89" t="s">
        <v>72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90"/>
      <c r="BJ51" s="91" t="s">
        <v>50</v>
      </c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76">
        <f>BW50-CN50</f>
        <v>53794.57052359171</v>
      </c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</row>
    <row r="52" s="1" customFormat="1" ht="6" customHeight="1"/>
    <row r="53" s="1" customFormat="1" ht="10.5" customHeight="1">
      <c r="B53" s="1" t="s">
        <v>73</v>
      </c>
    </row>
    <row r="54" s="1" customFormat="1" ht="10.5" customHeight="1">
      <c r="B54" s="1" t="s">
        <v>74</v>
      </c>
    </row>
    <row r="55" s="1" customFormat="1" ht="10.5" customHeight="1">
      <c r="B55" s="1" t="s">
        <v>75</v>
      </c>
    </row>
    <row r="56" spans="2:107" s="1" customFormat="1" ht="24" customHeight="1">
      <c r="B56" s="83" t="s">
        <v>76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</row>
    <row r="57" spans="2:107" s="1" customFormat="1" ht="24" customHeight="1">
      <c r="B57" s="83" t="s">
        <v>77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</row>
    <row r="58" spans="2:107" s="1" customFormat="1" ht="24" customHeight="1">
      <c r="B58" s="83" t="s">
        <v>78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</row>
    <row r="59" s="1" customFormat="1" ht="3" customHeight="1"/>
  </sheetData>
  <sheetProtection/>
  <mergeCells count="141">
    <mergeCell ref="B56:DC56"/>
    <mergeCell ref="B57:DC57"/>
    <mergeCell ref="B58:DC58"/>
    <mergeCell ref="B50:BI50"/>
    <mergeCell ref="BJ50:BV50"/>
    <mergeCell ref="BW50:CM50"/>
    <mergeCell ref="CN50:DC50"/>
    <mergeCell ref="B51:BI51"/>
    <mergeCell ref="BJ51:BV51"/>
    <mergeCell ref="BW51:CM51"/>
    <mergeCell ref="CN51:DC51"/>
    <mergeCell ref="B48:BI48"/>
    <mergeCell ref="BJ48:BV48"/>
    <mergeCell ref="BW48:CM48"/>
    <mergeCell ref="CN48:DC48"/>
    <mergeCell ref="B49:BI49"/>
    <mergeCell ref="BJ49:BV49"/>
    <mergeCell ref="BW49:CM49"/>
    <mergeCell ref="CN49:DC49"/>
    <mergeCell ref="B46:BI46"/>
    <mergeCell ref="BJ46:BV46"/>
    <mergeCell ref="BW46:CM46"/>
    <mergeCell ref="CN46:DC46"/>
    <mergeCell ref="B47:BI47"/>
    <mergeCell ref="BJ47:BV47"/>
    <mergeCell ref="BW47:CM47"/>
    <mergeCell ref="CN47:DC47"/>
    <mergeCell ref="B44:BI44"/>
    <mergeCell ref="BJ44:BV44"/>
    <mergeCell ref="BW44:CM44"/>
    <mergeCell ref="CN44:DC44"/>
    <mergeCell ref="B45:BI45"/>
    <mergeCell ref="BJ45:BV45"/>
    <mergeCell ref="BW45:CM45"/>
    <mergeCell ref="CN45:DC45"/>
    <mergeCell ref="B42:BI42"/>
    <mergeCell ref="BJ42:BV42"/>
    <mergeCell ref="BW42:CM42"/>
    <mergeCell ref="CN42:DC42"/>
    <mergeCell ref="B43:BI43"/>
    <mergeCell ref="BJ43:BV43"/>
    <mergeCell ref="BW43:CM43"/>
    <mergeCell ref="CN43:DC43"/>
    <mergeCell ref="B40:BI40"/>
    <mergeCell ref="BJ40:BV40"/>
    <mergeCell ref="BW40:CM40"/>
    <mergeCell ref="CN40:DC40"/>
    <mergeCell ref="B41:BI41"/>
    <mergeCell ref="BJ41:BV41"/>
    <mergeCell ref="BW41:CM41"/>
    <mergeCell ref="CN41:DC41"/>
    <mergeCell ref="B38:BI38"/>
    <mergeCell ref="BJ38:BV38"/>
    <mergeCell ref="BW38:CM38"/>
    <mergeCell ref="CN38:DC38"/>
    <mergeCell ref="B39:BI39"/>
    <mergeCell ref="BJ39:BV39"/>
    <mergeCell ref="BW39:CM39"/>
    <mergeCell ref="CN39:DC39"/>
    <mergeCell ref="B36:BI36"/>
    <mergeCell ref="BJ36:BV36"/>
    <mergeCell ref="BW36:CM36"/>
    <mergeCell ref="CN36:DC36"/>
    <mergeCell ref="B37:BI37"/>
    <mergeCell ref="BJ37:BV37"/>
    <mergeCell ref="BW37:CM37"/>
    <mergeCell ref="CN37:DC37"/>
    <mergeCell ref="B34:BI34"/>
    <mergeCell ref="BJ34:BV34"/>
    <mergeCell ref="BW34:CM34"/>
    <mergeCell ref="CN34:DC34"/>
    <mergeCell ref="B35:BI35"/>
    <mergeCell ref="BJ35:BV35"/>
    <mergeCell ref="BW35:CM35"/>
    <mergeCell ref="CN35:DC35"/>
    <mergeCell ref="B32:BI32"/>
    <mergeCell ref="BJ32:BV32"/>
    <mergeCell ref="BW32:CM32"/>
    <mergeCell ref="CN32:DC32"/>
    <mergeCell ref="B33:BI33"/>
    <mergeCell ref="BJ33:BV33"/>
    <mergeCell ref="BW33:CM33"/>
    <mergeCell ref="CN33:DC33"/>
    <mergeCell ref="B30:BI30"/>
    <mergeCell ref="BJ30:BV30"/>
    <mergeCell ref="BW30:CM30"/>
    <mergeCell ref="CN30:DC30"/>
    <mergeCell ref="B31:BI31"/>
    <mergeCell ref="BJ31:BV31"/>
    <mergeCell ref="BW31:CM31"/>
    <mergeCell ref="CN31:DC31"/>
    <mergeCell ref="B28:BI28"/>
    <mergeCell ref="BJ28:BV28"/>
    <mergeCell ref="BW28:CM28"/>
    <mergeCell ref="CN28:DC28"/>
    <mergeCell ref="B29:BI29"/>
    <mergeCell ref="BJ29:BV29"/>
    <mergeCell ref="BW29:CM29"/>
    <mergeCell ref="CN29:DC29"/>
    <mergeCell ref="A26:BI26"/>
    <mergeCell ref="BJ26:BV26"/>
    <mergeCell ref="BW26:CM26"/>
    <mergeCell ref="CN26:DC26"/>
    <mergeCell ref="B27:BI27"/>
    <mergeCell ref="BJ27:BV27"/>
    <mergeCell ref="BW27:CM27"/>
    <mergeCell ref="CN27:DC27"/>
    <mergeCell ref="B20:BI20"/>
    <mergeCell ref="BJ20:BV20"/>
    <mergeCell ref="BW20:DC20"/>
    <mergeCell ref="A22:DC22"/>
    <mergeCell ref="A24:BI25"/>
    <mergeCell ref="BJ24:BV25"/>
    <mergeCell ref="BW24:CM24"/>
    <mergeCell ref="CN24:DC24"/>
    <mergeCell ref="BW25:CM25"/>
    <mergeCell ref="CN25:DC25"/>
    <mergeCell ref="B18:BI18"/>
    <mergeCell ref="BJ18:BV18"/>
    <mergeCell ref="BW18:DC18"/>
    <mergeCell ref="B19:BI19"/>
    <mergeCell ref="BJ19:BV19"/>
    <mergeCell ref="BW19:DC19"/>
    <mergeCell ref="B16:BI16"/>
    <mergeCell ref="BJ16:BV16"/>
    <mergeCell ref="BW16:DC16"/>
    <mergeCell ref="B17:BI17"/>
    <mergeCell ref="BJ17:BV17"/>
    <mergeCell ref="BW17:DC17"/>
    <mergeCell ref="BL10:DC10"/>
    <mergeCell ref="A12:DC12"/>
    <mergeCell ref="A14:BI15"/>
    <mergeCell ref="BJ14:BV15"/>
    <mergeCell ref="BW14:DC14"/>
    <mergeCell ref="BW15:DC15"/>
    <mergeCell ref="A3:DC3"/>
    <mergeCell ref="A4:DC4"/>
    <mergeCell ref="A5:DC5"/>
    <mergeCell ref="A6:DC6"/>
    <mergeCell ref="AX7:BH7"/>
    <mergeCell ref="BL9:DC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K49"/>
  <sheetViews>
    <sheetView view="pageBreakPreview" zoomScaleSheetLayoutView="100" zoomScalePageLayoutView="0" workbookViewId="0" topLeftCell="A4">
      <selection activeCell="BD27" sqref="BD27:BN27"/>
    </sheetView>
  </sheetViews>
  <sheetFormatPr defaultColWidth="0.875" defaultRowHeight="12.75"/>
  <cols>
    <col min="1" max="91" width="0.875" style="13" customWidth="1"/>
    <col min="92" max="92" width="8.125" style="13" bestFit="1" customWidth="1"/>
    <col min="93" max="165" width="0.875" style="13" customWidth="1"/>
    <col min="166" max="166" width="2.375" style="13" customWidth="1"/>
    <col min="167" max="16384" width="0.875" style="13" customWidth="1"/>
  </cols>
  <sheetData>
    <row r="1" spans="2:166" ht="15" customHeight="1">
      <c r="B1" s="30" t="s">
        <v>88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</row>
    <row r="2" ht="6" customHeight="1"/>
    <row r="3" spans="1:167" s="2" customFormat="1" ht="12.75" customHeight="1">
      <c r="A3" s="49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1"/>
      <c r="AV3" s="55" t="s">
        <v>16</v>
      </c>
      <c r="AW3" s="95"/>
      <c r="AX3" s="95"/>
      <c r="AY3" s="95"/>
      <c r="AZ3" s="95"/>
      <c r="BA3" s="95"/>
      <c r="BB3" s="95"/>
      <c r="BC3" s="96"/>
      <c r="BD3" s="49" t="s">
        <v>81</v>
      </c>
      <c r="BE3" s="50"/>
      <c r="BF3" s="50"/>
      <c r="BG3" s="50"/>
      <c r="BH3" s="50"/>
      <c r="BI3" s="50"/>
      <c r="BJ3" s="50"/>
      <c r="BK3" s="50"/>
      <c r="BL3" s="50"/>
      <c r="BM3" s="50"/>
      <c r="BN3" s="51"/>
      <c r="BO3" s="37" t="s">
        <v>82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9"/>
    </row>
    <row r="4" spans="1:167" s="2" customFormat="1" ht="113.2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4"/>
      <c r="AV4" s="97"/>
      <c r="AW4" s="98"/>
      <c r="AX4" s="98"/>
      <c r="AY4" s="98"/>
      <c r="AZ4" s="98"/>
      <c r="BA4" s="98"/>
      <c r="BB4" s="98"/>
      <c r="BC4" s="99"/>
      <c r="BD4" s="52"/>
      <c r="BE4" s="53"/>
      <c r="BF4" s="53"/>
      <c r="BG4" s="53"/>
      <c r="BH4" s="53"/>
      <c r="BI4" s="53"/>
      <c r="BJ4" s="53"/>
      <c r="BK4" s="53"/>
      <c r="BL4" s="53"/>
      <c r="BM4" s="53"/>
      <c r="BN4" s="54"/>
      <c r="BO4" s="103" t="s">
        <v>92</v>
      </c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 t="s">
        <v>93</v>
      </c>
      <c r="CB4" s="103"/>
      <c r="CC4" s="103"/>
      <c r="CD4" s="103"/>
      <c r="CE4" s="103"/>
      <c r="CF4" s="103"/>
      <c r="CG4" s="103"/>
      <c r="CH4" s="103"/>
      <c r="CI4" s="103"/>
      <c r="CJ4" s="103" t="s">
        <v>83</v>
      </c>
      <c r="CK4" s="103"/>
      <c r="CL4" s="103"/>
      <c r="CM4" s="103"/>
      <c r="CN4" s="103"/>
      <c r="CO4" s="103"/>
      <c r="CP4" s="103"/>
      <c r="CQ4" s="103"/>
      <c r="CR4" s="103"/>
      <c r="CS4" s="103" t="s">
        <v>91</v>
      </c>
      <c r="CT4" s="103"/>
      <c r="CU4" s="103"/>
      <c r="CV4" s="103"/>
      <c r="CW4" s="103"/>
      <c r="CX4" s="103"/>
      <c r="CY4" s="103"/>
      <c r="CZ4" s="103"/>
      <c r="DA4" s="103"/>
      <c r="DB4" s="103" t="s">
        <v>84</v>
      </c>
      <c r="DC4" s="103"/>
      <c r="DD4" s="103"/>
      <c r="DE4" s="103"/>
      <c r="DF4" s="103"/>
      <c r="DG4" s="103"/>
      <c r="DH4" s="103"/>
      <c r="DI4" s="103"/>
      <c r="DJ4" s="103"/>
      <c r="DK4" s="103" t="s">
        <v>86</v>
      </c>
      <c r="DL4" s="103"/>
      <c r="DM4" s="103"/>
      <c r="DN4" s="103"/>
      <c r="DO4" s="103"/>
      <c r="DP4" s="103"/>
      <c r="DQ4" s="103"/>
      <c r="DR4" s="103"/>
      <c r="DS4" s="103"/>
      <c r="DT4" s="103"/>
      <c r="DU4" s="103" t="s">
        <v>85</v>
      </c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 t="s">
        <v>89</v>
      </c>
      <c r="EK4" s="103"/>
      <c r="EL4" s="103"/>
      <c r="EM4" s="103"/>
      <c r="EN4" s="103"/>
      <c r="EO4" s="103"/>
      <c r="EP4" s="103"/>
      <c r="EQ4" s="103"/>
      <c r="ER4" s="103"/>
      <c r="ES4" s="103" t="s">
        <v>90</v>
      </c>
      <c r="ET4" s="103"/>
      <c r="EU4" s="103"/>
      <c r="EV4" s="103"/>
      <c r="EW4" s="103"/>
      <c r="EX4" s="103"/>
      <c r="EY4" s="103"/>
      <c r="EZ4" s="103"/>
      <c r="FA4" s="103"/>
      <c r="FB4" s="103"/>
      <c r="FC4" s="103" t="s">
        <v>87</v>
      </c>
      <c r="FD4" s="103"/>
      <c r="FE4" s="103"/>
      <c r="FF4" s="103"/>
      <c r="FG4" s="103"/>
      <c r="FH4" s="103"/>
      <c r="FI4" s="103"/>
      <c r="FJ4" s="103"/>
      <c r="FK4" s="103"/>
    </row>
    <row r="5" spans="1:167" s="2" customFormat="1" ht="12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100"/>
      <c r="AW5" s="101"/>
      <c r="AX5" s="101"/>
      <c r="AY5" s="101"/>
      <c r="AZ5" s="101"/>
      <c r="BA5" s="101"/>
      <c r="BB5" s="101"/>
      <c r="BC5" s="102"/>
      <c r="BD5" s="62">
        <v>1</v>
      </c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>
        <v>2</v>
      </c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>
        <v>3</v>
      </c>
      <c r="CB5" s="62"/>
      <c r="CC5" s="62"/>
      <c r="CD5" s="62"/>
      <c r="CE5" s="62"/>
      <c r="CF5" s="62"/>
      <c r="CG5" s="62"/>
      <c r="CH5" s="62"/>
      <c r="CI5" s="62"/>
      <c r="CJ5" s="62">
        <v>4</v>
      </c>
      <c r="CK5" s="62"/>
      <c r="CL5" s="62"/>
      <c r="CM5" s="62"/>
      <c r="CN5" s="62"/>
      <c r="CO5" s="62"/>
      <c r="CP5" s="62"/>
      <c r="CQ5" s="62"/>
      <c r="CR5" s="62"/>
      <c r="CS5" s="62">
        <v>5</v>
      </c>
      <c r="CT5" s="62"/>
      <c r="CU5" s="62"/>
      <c r="CV5" s="62"/>
      <c r="CW5" s="62"/>
      <c r="CX5" s="62"/>
      <c r="CY5" s="62"/>
      <c r="CZ5" s="62"/>
      <c r="DA5" s="62"/>
      <c r="DB5" s="62">
        <v>6</v>
      </c>
      <c r="DC5" s="62"/>
      <c r="DD5" s="62"/>
      <c r="DE5" s="62"/>
      <c r="DF5" s="62"/>
      <c r="DG5" s="62"/>
      <c r="DH5" s="62"/>
      <c r="DI5" s="62"/>
      <c r="DJ5" s="62"/>
      <c r="DK5" s="62">
        <v>7</v>
      </c>
      <c r="DL5" s="62"/>
      <c r="DM5" s="62"/>
      <c r="DN5" s="62"/>
      <c r="DO5" s="62"/>
      <c r="DP5" s="62"/>
      <c r="DQ5" s="62"/>
      <c r="DR5" s="62"/>
      <c r="DS5" s="62"/>
      <c r="DT5" s="62"/>
      <c r="DU5" s="62">
        <v>8</v>
      </c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>
        <v>9</v>
      </c>
      <c r="EK5" s="62"/>
      <c r="EL5" s="62"/>
      <c r="EM5" s="62"/>
      <c r="EN5" s="62"/>
      <c r="EO5" s="62"/>
      <c r="EP5" s="62"/>
      <c r="EQ5" s="62"/>
      <c r="ER5" s="62"/>
      <c r="ES5" s="62">
        <v>10</v>
      </c>
      <c r="ET5" s="62"/>
      <c r="EU5" s="62"/>
      <c r="EV5" s="62"/>
      <c r="EW5" s="62"/>
      <c r="EX5" s="62"/>
      <c r="EY5" s="62"/>
      <c r="EZ5" s="62"/>
      <c r="FA5" s="62"/>
      <c r="FB5" s="62"/>
      <c r="FC5" s="62">
        <v>11</v>
      </c>
      <c r="FD5" s="62"/>
      <c r="FE5" s="62"/>
      <c r="FF5" s="62"/>
      <c r="FG5" s="62"/>
      <c r="FH5" s="62"/>
      <c r="FI5" s="62"/>
      <c r="FJ5" s="62"/>
      <c r="FK5" s="62"/>
    </row>
    <row r="6" spans="1:167" s="17" customFormat="1" ht="13.5" customHeight="1">
      <c r="A6" s="15"/>
      <c r="B6" s="104" t="s">
        <v>25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5"/>
      <c r="AV6" s="43" t="s">
        <v>26</v>
      </c>
      <c r="AW6" s="43"/>
      <c r="AX6" s="43"/>
      <c r="AY6" s="43"/>
      <c r="AZ6" s="43"/>
      <c r="BA6" s="43"/>
      <c r="BB6" s="43"/>
      <c r="BC6" s="43"/>
      <c r="BD6" s="63">
        <f>BD7+BD8+BD11+BD27</f>
        <v>316699.8900243399</v>
      </c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>
        <f>CA7+CA8+CA11+CA27</f>
        <v>54463.696741855514</v>
      </c>
      <c r="CB6" s="63"/>
      <c r="CC6" s="63"/>
      <c r="CD6" s="63"/>
      <c r="CE6" s="63"/>
      <c r="CF6" s="63"/>
      <c r="CG6" s="63"/>
      <c r="CH6" s="63"/>
      <c r="CI6" s="63"/>
      <c r="CJ6" s="63">
        <f>CJ7+CJ8+CJ27</f>
        <v>55760.31423989002</v>
      </c>
      <c r="CK6" s="63"/>
      <c r="CL6" s="63"/>
      <c r="CM6" s="63"/>
      <c r="CN6" s="63"/>
      <c r="CO6" s="63"/>
      <c r="CP6" s="63"/>
      <c r="CQ6" s="63"/>
      <c r="CR6" s="63"/>
      <c r="CS6" s="63">
        <f>CS7+CS8+CS27</f>
        <v>15967.007253413574</v>
      </c>
      <c r="CT6" s="63"/>
      <c r="CU6" s="63"/>
      <c r="CV6" s="63"/>
      <c r="CW6" s="63"/>
      <c r="CX6" s="63"/>
      <c r="CY6" s="63"/>
      <c r="CZ6" s="63"/>
      <c r="DA6" s="63"/>
      <c r="DB6" s="63">
        <f>DB7+DB8+DB27</f>
        <v>37704.84210715923</v>
      </c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>
        <f>FC7+FC8+FC11+FC27</f>
        <v>152804.02968202165</v>
      </c>
      <c r="FD6" s="63"/>
      <c r="FE6" s="63"/>
      <c r="FF6" s="63"/>
      <c r="FG6" s="63"/>
      <c r="FH6" s="63"/>
      <c r="FI6" s="63"/>
      <c r="FJ6" s="63"/>
      <c r="FK6" s="63"/>
    </row>
    <row r="7" spans="1:167" ht="13.5" customHeight="1">
      <c r="A7" s="16"/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47" t="s">
        <v>27</v>
      </c>
      <c r="AW7" s="47"/>
      <c r="AX7" s="47"/>
      <c r="AY7" s="47"/>
      <c r="AZ7" s="47"/>
      <c r="BA7" s="47"/>
      <c r="BB7" s="47"/>
      <c r="BC7" s="47"/>
      <c r="BD7" s="66">
        <f>SUM(BO7:FK7)</f>
        <v>313435.8306784568</v>
      </c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9">
        <f>'[3]Смета короткая'!$H$5*('стр.1 '!$CN$27*100/'[3]Смета короткая'!$H$77)%</f>
        <v>53944.29157574001</v>
      </c>
      <c r="CB7" s="70"/>
      <c r="CC7" s="70"/>
      <c r="CD7" s="70"/>
      <c r="CE7" s="70"/>
      <c r="CF7" s="70"/>
      <c r="CG7" s="70"/>
      <c r="CH7" s="70"/>
      <c r="CI7" s="71"/>
      <c r="CJ7" s="69">
        <f>'[3]Смета короткая'!$H$27*('стр.1 '!$CN$27*100/'[3]Смета короткая'!$H$77)%</f>
        <v>54698.402961256914</v>
      </c>
      <c r="CK7" s="70"/>
      <c r="CL7" s="70"/>
      <c r="CM7" s="70"/>
      <c r="CN7" s="70"/>
      <c r="CO7" s="70"/>
      <c r="CP7" s="70"/>
      <c r="CQ7" s="70"/>
      <c r="CR7" s="71"/>
      <c r="CS7" s="69">
        <f>'[3]Смета короткая'!$H$29*('стр.1 '!$CN$27*100/'[3]Смета короткая'!$H$77)%</f>
        <v>15662.928922661682</v>
      </c>
      <c r="CT7" s="70"/>
      <c r="CU7" s="70"/>
      <c r="CV7" s="70"/>
      <c r="CW7" s="70"/>
      <c r="CX7" s="70"/>
      <c r="CY7" s="70"/>
      <c r="CZ7" s="70"/>
      <c r="DA7" s="71"/>
      <c r="DB7" s="69">
        <f>'[3]Смета короткая'!$H$30*('стр.1 '!$CN$27*100/'[3]Смета короткая'!$H$77)%</f>
        <v>37697.199875908314</v>
      </c>
      <c r="DC7" s="70"/>
      <c r="DD7" s="70"/>
      <c r="DE7" s="70"/>
      <c r="DF7" s="70"/>
      <c r="DG7" s="70"/>
      <c r="DH7" s="70"/>
      <c r="DI7" s="70"/>
      <c r="DJ7" s="71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>
        <f>'стр.1 '!CN27-SUM(CA7:DJ7)</f>
        <v>151433.0073428899</v>
      </c>
      <c r="FD7" s="66"/>
      <c r="FE7" s="66"/>
      <c r="FF7" s="66"/>
      <c r="FG7" s="66"/>
      <c r="FH7" s="66"/>
      <c r="FI7" s="66"/>
      <c r="FJ7" s="66"/>
      <c r="FK7" s="66"/>
    </row>
    <row r="8" spans="1:167" ht="13.5" customHeight="1">
      <c r="A8" s="14"/>
      <c r="B8" s="64" t="s">
        <v>52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/>
      <c r="AV8" s="47" t="s">
        <v>28</v>
      </c>
      <c r="AW8" s="47"/>
      <c r="AX8" s="47"/>
      <c r="AY8" s="47"/>
      <c r="AZ8" s="47"/>
      <c r="BA8" s="47"/>
      <c r="BB8" s="47"/>
      <c r="BC8" s="47"/>
      <c r="BD8" s="66">
        <f>SUM(BO8:FK8)</f>
        <v>222.46728920531586</v>
      </c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9">
        <f>'[3]Смета короткая'!$I$5*('стр.1 '!$CN$28*100/'[3]Смета короткая'!$I$77)%</f>
        <v>37.7958640496675</v>
      </c>
      <c r="CB8" s="70"/>
      <c r="CC8" s="70"/>
      <c r="CD8" s="70"/>
      <c r="CE8" s="70"/>
      <c r="CF8" s="70"/>
      <c r="CG8" s="70"/>
      <c r="CH8" s="70"/>
      <c r="CI8" s="71"/>
      <c r="CJ8" s="69">
        <f>'[3]Смета короткая'!$I$27*('стр.1 '!$CN$28*100/'[3]Смета короткая'!$I$77)%</f>
        <v>34.91656997871759</v>
      </c>
      <c r="CK8" s="70"/>
      <c r="CL8" s="70"/>
      <c r="CM8" s="70"/>
      <c r="CN8" s="70"/>
      <c r="CO8" s="70"/>
      <c r="CP8" s="70"/>
      <c r="CQ8" s="70"/>
      <c r="CR8" s="71"/>
      <c r="CS8" s="69">
        <f>'[3]Смета короткая'!$I$29*('стр.1 '!$CN$28*100/'[3]Смета короткая'!$I$77)%</f>
        <v>9.998316868299392</v>
      </c>
      <c r="CT8" s="70"/>
      <c r="CU8" s="70"/>
      <c r="CV8" s="70"/>
      <c r="CW8" s="70"/>
      <c r="CX8" s="70"/>
      <c r="CY8" s="70"/>
      <c r="CZ8" s="70"/>
      <c r="DA8" s="71"/>
      <c r="DB8" s="69">
        <f>'[3]Смета короткая'!$I$30*('стр.1 '!$CN$28*100/'[3]Смета короткая'!$I$77)%</f>
        <v>7.642231250919436</v>
      </c>
      <c r="DC8" s="70"/>
      <c r="DD8" s="70"/>
      <c r="DE8" s="70"/>
      <c r="DF8" s="70"/>
      <c r="DG8" s="70"/>
      <c r="DH8" s="70"/>
      <c r="DI8" s="70"/>
      <c r="DJ8" s="71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>
        <f>'стр.1 '!CN28-SUM(CA8:DJ8)</f>
        <v>132.11430705771193</v>
      </c>
      <c r="FD8" s="66"/>
      <c r="FE8" s="66"/>
      <c r="FF8" s="66"/>
      <c r="FG8" s="66"/>
      <c r="FH8" s="66"/>
      <c r="FI8" s="66"/>
      <c r="FJ8" s="66"/>
      <c r="FK8" s="66"/>
    </row>
    <row r="9" spans="1:167" ht="26.25" customHeight="1">
      <c r="A9" s="14"/>
      <c r="B9" s="64" t="s">
        <v>79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5"/>
      <c r="AV9" s="47" t="s">
        <v>29</v>
      </c>
      <c r="AW9" s="47"/>
      <c r="AX9" s="47"/>
      <c r="AY9" s="47"/>
      <c r="AZ9" s="47"/>
      <c r="BA9" s="47"/>
      <c r="BB9" s="47"/>
      <c r="BC9" s="47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</row>
    <row r="10" spans="1:167" ht="13.5" customHeight="1">
      <c r="A10" s="14"/>
      <c r="B10" s="41" t="s">
        <v>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2"/>
      <c r="AV10" s="47" t="s">
        <v>30</v>
      </c>
      <c r="AW10" s="47"/>
      <c r="AX10" s="47"/>
      <c r="AY10" s="47"/>
      <c r="AZ10" s="47"/>
      <c r="BA10" s="47"/>
      <c r="BB10" s="47"/>
      <c r="BC10" s="47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</row>
    <row r="11" spans="1:167" ht="13.5" customHeight="1">
      <c r="A11" s="14"/>
      <c r="B11" s="64" t="s">
        <v>55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5"/>
      <c r="AV11" s="47" t="s">
        <v>31</v>
      </c>
      <c r="AW11" s="47"/>
      <c r="AX11" s="47"/>
      <c r="AY11" s="47"/>
      <c r="AZ11" s="47"/>
      <c r="BA11" s="47"/>
      <c r="BB11" s="47"/>
      <c r="BC11" s="47"/>
      <c r="BD11" s="66">
        <f>SUM(BO11:FK11)</f>
        <v>452.07612068125525</v>
      </c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7">
        <f>('[5]МОБ 90 счет'!$BQ$303+'[5]МОБ 90 счет'!$BQ$304)*678.17/1000+'[5]МОБ 90 счет'!$BQ$305*(678.17/24)/1000</f>
        <v>340.0739979166667</v>
      </c>
      <c r="CB11" s="67"/>
      <c r="CC11" s="67"/>
      <c r="CD11" s="67"/>
      <c r="CE11" s="67"/>
      <c r="CF11" s="67"/>
      <c r="CG11" s="67"/>
      <c r="CH11" s="67"/>
      <c r="CI11" s="67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>
        <f>'стр.1 '!CN31-SUM(CA11:DJ11)</f>
        <v>112.00212276458853</v>
      </c>
      <c r="FD11" s="66"/>
      <c r="FE11" s="66"/>
      <c r="FF11" s="66"/>
      <c r="FG11" s="66"/>
      <c r="FH11" s="66"/>
      <c r="FI11" s="66"/>
      <c r="FJ11" s="66"/>
      <c r="FK11" s="66"/>
    </row>
    <row r="12" spans="1:167" ht="13.5" customHeight="1">
      <c r="A12" s="14"/>
      <c r="B12" s="64" t="s">
        <v>56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/>
      <c r="AV12" s="47" t="s">
        <v>32</v>
      </c>
      <c r="AW12" s="47"/>
      <c r="AX12" s="47"/>
      <c r="AY12" s="47"/>
      <c r="AZ12" s="47"/>
      <c r="BA12" s="47"/>
      <c r="BB12" s="47"/>
      <c r="BC12" s="47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</row>
    <row r="13" spans="1:167" ht="13.5" customHeight="1">
      <c r="A13" s="14"/>
      <c r="B13" s="72" t="s">
        <v>57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3"/>
      <c r="AV13" s="47" t="s">
        <v>34</v>
      </c>
      <c r="AW13" s="47"/>
      <c r="AX13" s="47"/>
      <c r="AY13" s="47"/>
      <c r="AZ13" s="47"/>
      <c r="BA13" s="47"/>
      <c r="BB13" s="47"/>
      <c r="BC13" s="47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</row>
    <row r="14" spans="1:167" ht="13.5" customHeight="1">
      <c r="A14" s="14"/>
      <c r="B14" s="72" t="s">
        <v>58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  <c r="AV14" s="47" t="s">
        <v>35</v>
      </c>
      <c r="AW14" s="47"/>
      <c r="AX14" s="47"/>
      <c r="AY14" s="47"/>
      <c r="AZ14" s="47"/>
      <c r="BA14" s="47"/>
      <c r="BB14" s="47"/>
      <c r="BC14" s="47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</row>
    <row r="15" spans="1:167" ht="13.5" customHeight="1">
      <c r="A15" s="14"/>
      <c r="B15" s="72" t="s">
        <v>59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3"/>
      <c r="AV15" s="47" t="s">
        <v>36</v>
      </c>
      <c r="AW15" s="47"/>
      <c r="AX15" s="47"/>
      <c r="AY15" s="47"/>
      <c r="AZ15" s="47"/>
      <c r="BA15" s="47"/>
      <c r="BB15" s="47"/>
      <c r="BC15" s="47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</row>
    <row r="16" spans="1:167" ht="13.5" customHeight="1">
      <c r="A16" s="14"/>
      <c r="B16" s="74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5"/>
      <c r="AV16" s="47" t="s">
        <v>37</v>
      </c>
      <c r="AW16" s="47"/>
      <c r="AX16" s="47"/>
      <c r="AY16" s="47"/>
      <c r="AZ16" s="47"/>
      <c r="BA16" s="47"/>
      <c r="BB16" s="47"/>
      <c r="BC16" s="47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</row>
    <row r="17" spans="1:167" ht="13.5" customHeight="1">
      <c r="A17" s="14"/>
      <c r="B17" s="74" t="s">
        <v>97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5"/>
      <c r="AV17" s="47" t="s">
        <v>38</v>
      </c>
      <c r="AW17" s="47"/>
      <c r="AX17" s="47"/>
      <c r="AY17" s="47"/>
      <c r="AZ17" s="47"/>
      <c r="BA17" s="47"/>
      <c r="BB17" s="47"/>
      <c r="BC17" s="47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</row>
    <row r="18" spans="1:167" ht="13.5" customHeight="1">
      <c r="A18" s="14"/>
      <c r="B18" s="72" t="s">
        <v>60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3"/>
      <c r="AV18" s="47" t="s">
        <v>39</v>
      </c>
      <c r="AW18" s="47"/>
      <c r="AX18" s="47"/>
      <c r="AY18" s="47"/>
      <c r="AZ18" s="47"/>
      <c r="BA18" s="47"/>
      <c r="BB18" s="47"/>
      <c r="BC18" s="47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</row>
    <row r="19" spans="1:167" ht="13.5" customHeight="1">
      <c r="A19" s="14"/>
      <c r="B19" s="72" t="s">
        <v>61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3"/>
      <c r="AV19" s="47" t="s">
        <v>40</v>
      </c>
      <c r="AW19" s="47"/>
      <c r="AX19" s="47"/>
      <c r="AY19" s="47"/>
      <c r="AZ19" s="47"/>
      <c r="BA19" s="47"/>
      <c r="BB19" s="47"/>
      <c r="BC19" s="47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</row>
    <row r="20" spans="1:167" ht="13.5" customHeight="1">
      <c r="A20" s="14"/>
      <c r="B20" s="74" t="s">
        <v>62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5"/>
      <c r="AV20" s="47" t="s">
        <v>42</v>
      </c>
      <c r="AW20" s="47"/>
      <c r="AX20" s="47"/>
      <c r="AY20" s="47"/>
      <c r="AZ20" s="47"/>
      <c r="BA20" s="47"/>
      <c r="BB20" s="47"/>
      <c r="BC20" s="47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</row>
    <row r="21" spans="1:167" ht="13.5" customHeight="1">
      <c r="A21" s="14"/>
      <c r="B21" s="72" t="s">
        <v>63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3"/>
      <c r="AV21" s="47" t="s">
        <v>41</v>
      </c>
      <c r="AW21" s="47"/>
      <c r="AX21" s="47"/>
      <c r="AY21" s="47"/>
      <c r="AZ21" s="47"/>
      <c r="BA21" s="47"/>
      <c r="BB21" s="47"/>
      <c r="BC21" s="47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</row>
    <row r="22" spans="1:167" ht="13.5" customHeight="1">
      <c r="A22" s="14"/>
      <c r="B22" s="74" t="s">
        <v>64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5"/>
      <c r="AV22" s="47" t="s">
        <v>43</v>
      </c>
      <c r="AW22" s="47"/>
      <c r="AX22" s="47"/>
      <c r="AY22" s="47"/>
      <c r="AZ22" s="47"/>
      <c r="BA22" s="47"/>
      <c r="BB22" s="47"/>
      <c r="BC22" s="47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</row>
    <row r="23" spans="1:167" ht="13.5" customHeight="1">
      <c r="A23" s="14"/>
      <c r="B23" s="74" t="s">
        <v>65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5"/>
      <c r="AV23" s="47" t="s">
        <v>44</v>
      </c>
      <c r="AW23" s="47"/>
      <c r="AX23" s="47"/>
      <c r="AY23" s="47"/>
      <c r="AZ23" s="47"/>
      <c r="BA23" s="47"/>
      <c r="BB23" s="47"/>
      <c r="BC23" s="47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</row>
    <row r="24" spans="1:167" ht="13.5" customHeight="1">
      <c r="A24" s="14"/>
      <c r="B24" s="72" t="s">
        <v>66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47" t="s">
        <v>45</v>
      </c>
      <c r="AW24" s="47"/>
      <c r="AX24" s="47"/>
      <c r="AY24" s="47"/>
      <c r="AZ24" s="47"/>
      <c r="BA24" s="47"/>
      <c r="BB24" s="47"/>
      <c r="BC24" s="47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</row>
    <row r="25" spans="1:167" ht="13.5" customHeight="1">
      <c r="A25" s="14"/>
      <c r="B25" s="64" t="s">
        <v>67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5"/>
      <c r="AV25" s="47" t="s">
        <v>33</v>
      </c>
      <c r="AW25" s="47"/>
      <c r="AX25" s="47"/>
      <c r="AY25" s="47"/>
      <c r="AZ25" s="47"/>
      <c r="BA25" s="47"/>
      <c r="BB25" s="47"/>
      <c r="BC25" s="47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</row>
    <row r="26" spans="1:167" ht="13.5" customHeight="1">
      <c r="A26" s="14"/>
      <c r="B26" s="64" t="s">
        <v>68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/>
      <c r="AV26" s="47" t="s">
        <v>46</v>
      </c>
      <c r="AW26" s="47"/>
      <c r="AX26" s="47"/>
      <c r="AY26" s="47"/>
      <c r="AZ26" s="47"/>
      <c r="BA26" s="47"/>
      <c r="BB26" s="47"/>
      <c r="BC26" s="47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7"/>
      <c r="CB26" s="67"/>
      <c r="CC26" s="67"/>
      <c r="CD26" s="67"/>
      <c r="CE26" s="67"/>
      <c r="CF26" s="67"/>
      <c r="CG26" s="67"/>
      <c r="CH26" s="67"/>
      <c r="CI26" s="67"/>
      <c r="CJ26" s="69"/>
      <c r="CK26" s="70"/>
      <c r="CL26" s="70"/>
      <c r="CM26" s="70"/>
      <c r="CN26" s="70"/>
      <c r="CO26" s="70"/>
      <c r="CP26" s="70"/>
      <c r="CQ26" s="70"/>
      <c r="CR26" s="71"/>
      <c r="CS26" s="69"/>
      <c r="CT26" s="70"/>
      <c r="CU26" s="70"/>
      <c r="CV26" s="70"/>
      <c r="CW26" s="70"/>
      <c r="CX26" s="70"/>
      <c r="CY26" s="70"/>
      <c r="CZ26" s="70"/>
      <c r="DA26" s="71"/>
      <c r="DB26" s="69"/>
      <c r="DC26" s="70"/>
      <c r="DD26" s="70"/>
      <c r="DE26" s="70"/>
      <c r="DF26" s="70"/>
      <c r="DG26" s="70"/>
      <c r="DH26" s="70"/>
      <c r="DI26" s="70"/>
      <c r="DJ26" s="71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</row>
    <row r="27" spans="1:167" ht="25.5" customHeight="1">
      <c r="A27" s="14"/>
      <c r="B27" s="64" t="s">
        <v>100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5"/>
      <c r="AV27" s="47" t="s">
        <v>99</v>
      </c>
      <c r="AW27" s="47"/>
      <c r="AX27" s="47"/>
      <c r="AY27" s="47"/>
      <c r="AZ27" s="47"/>
      <c r="BA27" s="47"/>
      <c r="BB27" s="47"/>
      <c r="BC27" s="47"/>
      <c r="BD27" s="66">
        <f>SUM(BO27:FK27)</f>
        <v>2589.5159359965614</v>
      </c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7">
        <f>('[4]Флора подслан. '!$AD$16+'[4]Флора подслан. '!$AD$17+'[4]Флора подслан. '!$AD$18)/1000</f>
        <v>141.53530414916878</v>
      </c>
      <c r="CB27" s="67"/>
      <c r="CC27" s="67"/>
      <c r="CD27" s="67"/>
      <c r="CE27" s="67"/>
      <c r="CF27" s="67"/>
      <c r="CG27" s="67"/>
      <c r="CH27" s="67"/>
      <c r="CI27" s="67"/>
      <c r="CJ27" s="67">
        <f>'[4]Флора подслан. '!$AD$14/1000</f>
        <v>1026.9947086543873</v>
      </c>
      <c r="CK27" s="67"/>
      <c r="CL27" s="67"/>
      <c r="CM27" s="67"/>
      <c r="CN27" s="67"/>
      <c r="CO27" s="67"/>
      <c r="CP27" s="67"/>
      <c r="CQ27" s="67"/>
      <c r="CR27" s="67"/>
      <c r="CS27" s="67">
        <f>'[4]Флора подслан. '!$AD$15/1000</f>
        <v>294.0800138835925</v>
      </c>
      <c r="CT27" s="67"/>
      <c r="CU27" s="67"/>
      <c r="CV27" s="67"/>
      <c r="CW27" s="67"/>
      <c r="CX27" s="67"/>
      <c r="CY27" s="67"/>
      <c r="CZ27" s="67"/>
      <c r="DA27" s="67"/>
      <c r="DB27" s="67">
        <f>'[4]Флора подслан. '!$AD$19/1000</f>
        <v>0</v>
      </c>
      <c r="DC27" s="67"/>
      <c r="DD27" s="67"/>
      <c r="DE27" s="67"/>
      <c r="DF27" s="67"/>
      <c r="DG27" s="67"/>
      <c r="DH27" s="67"/>
      <c r="DI27" s="67"/>
      <c r="DJ27" s="67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>
        <f>'стр.1 '!CN47-SUM(CA27:DJ27)</f>
        <v>1126.905909309413</v>
      </c>
      <c r="FD27" s="66"/>
      <c r="FE27" s="66"/>
      <c r="FF27" s="66"/>
      <c r="FG27" s="66"/>
      <c r="FH27" s="66"/>
      <c r="FI27" s="66"/>
      <c r="FJ27" s="66"/>
      <c r="FK27" s="66"/>
    </row>
    <row r="28" spans="1:167" s="17" customFormat="1" ht="13.5" customHeight="1">
      <c r="A28" s="15"/>
      <c r="B28" s="77" t="s">
        <v>80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8"/>
      <c r="AV28" s="43" t="s">
        <v>47</v>
      </c>
      <c r="AW28" s="43"/>
      <c r="AX28" s="43"/>
      <c r="AY28" s="43"/>
      <c r="AZ28" s="43"/>
      <c r="BA28" s="43"/>
      <c r="BB28" s="43"/>
      <c r="BC28" s="43"/>
      <c r="BD28" s="63">
        <f>'стр.1 '!CN48</f>
        <v>366708</v>
      </c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>
        <f>('[1]Смета короткая'!$L$5+'[1]Смета короткая'!$M$5)*(('[1]Смета короткая'!$L$70+'[1]Смета короткая'!$M$70)*100/'[1]Смета короткая'!$W$70)%+CA6</f>
        <v>62920.83546834659</v>
      </c>
      <c r="CB28" s="63"/>
      <c r="CC28" s="63"/>
      <c r="CD28" s="63"/>
      <c r="CE28" s="63"/>
      <c r="CF28" s="63"/>
      <c r="CG28" s="63"/>
      <c r="CH28" s="63"/>
      <c r="CI28" s="63"/>
      <c r="CJ28" s="63">
        <f>('[1]Смета короткая'!$L$27+'[1]Смета короткая'!$M$27)*(('[1]Смета короткая'!$L$70+'[1]Смета короткая'!$M$70)*100/'[1]Смета короткая'!$W$70)%+CJ6</f>
        <v>57633.73263518088</v>
      </c>
      <c r="CK28" s="63"/>
      <c r="CL28" s="63"/>
      <c r="CM28" s="63"/>
      <c r="CN28" s="63"/>
      <c r="CO28" s="63"/>
      <c r="CP28" s="63"/>
      <c r="CQ28" s="63"/>
      <c r="CR28" s="63"/>
      <c r="CS28" s="63">
        <f>('[1]Смета короткая'!$L$29+'[1]Смета короткая'!$M$29)*(('[1]Смета короткая'!$L$70+'[1]Смета короткая'!$M$70)*100/'[1]Смета короткая'!$W$70)%+CS6</f>
        <v>16525.92280449103</v>
      </c>
      <c r="CT28" s="63"/>
      <c r="CU28" s="63"/>
      <c r="CV28" s="63"/>
      <c r="CW28" s="63"/>
      <c r="CX28" s="63"/>
      <c r="CY28" s="63"/>
      <c r="CZ28" s="63"/>
      <c r="DA28" s="63"/>
      <c r="DB28" s="63">
        <f>('[1]Смета короткая'!$L$30+'[1]Смета короткая'!$M$30)*(('[1]Смета короткая'!$L$70+'[1]Смета короткая'!$M$70)*100/'[1]Смета короткая'!$W$70)%+DB6</f>
        <v>50232.66518864119</v>
      </c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>
        <f>BD28-SUM(CA28:DJ28)</f>
        <v>179394.84390334028</v>
      </c>
      <c r="FD28" s="63"/>
      <c r="FE28" s="63"/>
      <c r="FF28" s="63"/>
      <c r="FG28" s="63"/>
      <c r="FH28" s="63"/>
      <c r="FI28" s="63"/>
      <c r="FJ28" s="63"/>
      <c r="FK28" s="63"/>
    </row>
    <row r="29" spans="1:167" s="18" customFormat="1" ht="14.25" customHeight="1">
      <c r="A29" s="19"/>
      <c r="B29" s="108" t="s">
        <v>4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110" t="s">
        <v>48</v>
      </c>
      <c r="AW29" s="110"/>
      <c r="AX29" s="110"/>
      <c r="AY29" s="110"/>
      <c r="AZ29" s="110"/>
      <c r="BA29" s="110"/>
      <c r="BB29" s="110"/>
      <c r="BC29" s="110"/>
      <c r="BD29" s="111">
        <f>'стр.1 '!CN49</f>
        <v>108624.569973</v>
      </c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>
        <f>BD29</f>
        <v>108624.569973</v>
      </c>
      <c r="FD29" s="111"/>
      <c r="FE29" s="111"/>
      <c r="FF29" s="111"/>
      <c r="FG29" s="111"/>
      <c r="FH29" s="111"/>
      <c r="FI29" s="111"/>
      <c r="FJ29" s="111"/>
      <c r="FK29" s="111"/>
    </row>
    <row r="30" spans="1:167" s="18" customFormat="1" ht="14.25" customHeight="1">
      <c r="A30" s="112" t="s">
        <v>71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4"/>
      <c r="AV30" s="115" t="s">
        <v>49</v>
      </c>
      <c r="AW30" s="115"/>
      <c r="AX30" s="115"/>
      <c r="AY30" s="115"/>
      <c r="AZ30" s="115"/>
      <c r="BA30" s="115"/>
      <c r="BB30" s="115"/>
      <c r="BC30" s="115"/>
      <c r="BD30" s="111">
        <f>BD28+BD29</f>
        <v>475332.569973</v>
      </c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>
        <f>CA28+CA29</f>
        <v>62920.83546834659</v>
      </c>
      <c r="CB30" s="111"/>
      <c r="CC30" s="111"/>
      <c r="CD30" s="111"/>
      <c r="CE30" s="111"/>
      <c r="CF30" s="111"/>
      <c r="CG30" s="111"/>
      <c r="CH30" s="111"/>
      <c r="CI30" s="111"/>
      <c r="CJ30" s="111">
        <f>CJ28+CJ29</f>
        <v>57633.73263518088</v>
      </c>
      <c r="CK30" s="111"/>
      <c r="CL30" s="111"/>
      <c r="CM30" s="111"/>
      <c r="CN30" s="111"/>
      <c r="CO30" s="111"/>
      <c r="CP30" s="111"/>
      <c r="CQ30" s="111"/>
      <c r="CR30" s="111"/>
      <c r="CS30" s="111">
        <f>CS28+CS29</f>
        <v>16525.92280449103</v>
      </c>
      <c r="CT30" s="111"/>
      <c r="CU30" s="111"/>
      <c r="CV30" s="111"/>
      <c r="CW30" s="111"/>
      <c r="CX30" s="111"/>
      <c r="CY30" s="111"/>
      <c r="CZ30" s="111"/>
      <c r="DA30" s="111"/>
      <c r="DB30" s="111">
        <f>DB28+DB29</f>
        <v>50232.66518864119</v>
      </c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>
        <f>FC28+FC29</f>
        <v>288019.41387634026</v>
      </c>
      <c r="FD30" s="111"/>
      <c r="FE30" s="111"/>
      <c r="FF30" s="111"/>
      <c r="FG30" s="111"/>
      <c r="FH30" s="111"/>
      <c r="FI30" s="111"/>
      <c r="FJ30" s="111"/>
      <c r="FK30" s="111"/>
    </row>
    <row r="47" ht="12.75">
      <c r="CN47" s="13" t="e">
        <f>BW47*DE48</f>
        <v>#DIV/0!</v>
      </c>
    </row>
    <row r="48" spans="92:109" ht="12.75">
      <c r="CN48" s="13">
        <v>462700</v>
      </c>
      <c r="DE48" s="13" t="e">
        <f>CN48/BW48</f>
        <v>#DIV/0!</v>
      </c>
    </row>
    <row r="49" spans="75:92" ht="12.75">
      <c r="BW49" s="13">
        <f>48649+42400+8000</f>
        <v>99049</v>
      </c>
      <c r="CN49" s="13">
        <f>110745+42400+8000</f>
        <v>161145</v>
      </c>
    </row>
  </sheetData>
  <sheetProtection/>
  <mergeCells count="351">
    <mergeCell ref="FC30:FK30"/>
    <mergeCell ref="CS30:DA30"/>
    <mergeCell ref="DB30:DJ30"/>
    <mergeCell ref="DK30:DT30"/>
    <mergeCell ref="DU30:EI30"/>
    <mergeCell ref="EJ30:ER30"/>
    <mergeCell ref="ES30:FB30"/>
    <mergeCell ref="DU29:EI29"/>
    <mergeCell ref="EJ29:ER29"/>
    <mergeCell ref="ES29:FB29"/>
    <mergeCell ref="FC29:FK29"/>
    <mergeCell ref="A30:AU30"/>
    <mergeCell ref="AV30:BC30"/>
    <mergeCell ref="BD30:BN30"/>
    <mergeCell ref="BO30:BZ30"/>
    <mergeCell ref="CA30:CI30"/>
    <mergeCell ref="CJ30:CR30"/>
    <mergeCell ref="FC28:FK28"/>
    <mergeCell ref="B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Просёлкова Александра Андреевна</cp:lastModifiedBy>
  <cp:lastPrinted>2016-05-12T06:17:03Z</cp:lastPrinted>
  <dcterms:created xsi:type="dcterms:W3CDTF">2011-01-11T10:25:48Z</dcterms:created>
  <dcterms:modified xsi:type="dcterms:W3CDTF">2016-05-20T13:32:54Z</dcterms:modified>
  <cp:category/>
  <cp:version/>
  <cp:contentType/>
  <cp:contentStatus/>
</cp:coreProperties>
</file>